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520" windowHeight="8484" tabRatio="1000" activeTab="6"/>
  </bookViews>
  <sheets>
    <sheet name="Introduction" sheetId="1" r:id="rId1"/>
    <sheet name="Version History" sheetId="2" r:id="rId2"/>
    <sheet name="Basic Info" sheetId="3" r:id="rId3"/>
    <sheet name="Reporting Summary" sheetId="4" r:id="rId4"/>
    <sheet name="SIR by Measure" sheetId="5" r:id="rId5"/>
    <sheet name="LEED for Homes Mid-Rise Form" sheetId="6" state="hidden" r:id="rId6"/>
    <sheet name="Windows eQUEST" sheetId="7" r:id="rId7"/>
    <sheet name="Water Savings" sheetId="8" r:id="rId8"/>
    <sheet name="DHW Demand" sheetId="9" r:id="rId9"/>
    <sheet name="Appliances" sheetId="10" r:id="rId10"/>
    <sheet name="Tables of Values" sheetId="11" state="hidden" r:id="rId11"/>
    <sheet name="Lighting Schedule" sheetId="12" r:id="rId12"/>
    <sheet name="In-Unit Lighting" sheetId="13" r:id="rId13"/>
    <sheet name="Interior Lighting" sheetId="14" r:id="rId14"/>
    <sheet name="Exterior Lighting" sheetId="15" r:id="rId15"/>
    <sheet name="Infiltration&amp;Ventilation" sheetId="16" r:id="rId16"/>
    <sheet name="EIR for PTAC and PTHP" sheetId="17" r:id="rId17"/>
    <sheet name="Results from eQUEST" sheetId="18" r:id="rId18"/>
    <sheet name="Simulation Summary" sheetId="19" r:id="rId19"/>
    <sheet name="Sheet1" sheetId="20" r:id="rId20"/>
  </sheets>
  <externalReferences>
    <externalReference r:id="rId23"/>
    <externalReference r:id="rId24"/>
  </externalReferences>
  <definedNames>
    <definedName name="_xlfn.SUMIFS" hidden="1">#NAME?</definedName>
    <definedName name="delete">#REF!</definedName>
    <definedName name="Efficacy">'[1]Lighting Schedule'!$X$3:$X$4</definedName>
    <definedName name="Low_Flow_Toilets" localSheetId="7">'Water Savings'!$E$20:$E$20</definedName>
    <definedName name="Low_Flow_Toilets">#REF!</definedName>
    <definedName name="_xlnm.Print_Area" localSheetId="0">'Introduction'!$A$1:$B$54</definedName>
    <definedName name="_xlnm.Print_Area" localSheetId="4">'SIR by Measure'!$C$7:$M$61</definedName>
    <definedName name="_xlnm.Print_Titles" localSheetId="13">'Interior Lighting'!$16:$16</definedName>
    <definedName name="Z_04B77481_E3E8_40F9_BDC2_E6862D1359A5_.wvu.PrintArea" localSheetId="4" hidden="1">'SIR by Measure'!$C$7:$P$33</definedName>
    <definedName name="Z_35C7FE4E_ECD1_4024_8A83_5348EFAFB67F_.wvu.Cols" localSheetId="9" hidden="1">'Appliances'!$U:$V</definedName>
    <definedName name="Z_35C7FE4E_ECD1_4024_8A83_5348EFAFB67F_.wvu.Cols" localSheetId="2" hidden="1">'Basic Info'!$I:$J</definedName>
    <definedName name="Z_35C7FE4E_ECD1_4024_8A83_5348EFAFB67F_.wvu.Cols" localSheetId="8" hidden="1">'DHW Demand'!$Z:$AA</definedName>
    <definedName name="Z_35C7FE4E_ECD1_4024_8A83_5348EFAFB67F_.wvu.Cols" localSheetId="15" hidden="1">'Infiltration&amp;Ventilation'!$P:$Q</definedName>
    <definedName name="Z_35C7FE4E_ECD1_4024_8A83_5348EFAFB67F_.wvu.Cols" localSheetId="13" hidden="1">'Interior Lighting'!$U:$AC</definedName>
    <definedName name="Z_35C7FE4E_ECD1_4024_8A83_5348EFAFB67F_.wvu.Cols" localSheetId="5" hidden="1">'LEED for Homes Mid-Rise Form'!$AD:$AD</definedName>
    <definedName name="Z_35C7FE4E_ECD1_4024_8A83_5348EFAFB67F_.wvu.Cols" localSheetId="3" hidden="1">'Reporting Summary'!$AJ:$AP</definedName>
    <definedName name="Z_35C7FE4E_ECD1_4024_8A83_5348EFAFB67F_.wvu.Cols" localSheetId="17" hidden="1">'Results from eQUEST'!$Y:$AW</definedName>
    <definedName name="Z_35C7FE4E_ECD1_4024_8A83_5348EFAFB67F_.wvu.Cols" localSheetId="6" hidden="1">'Windows eQUEST'!$X:$X</definedName>
    <definedName name="Z_35C7FE4E_ECD1_4024_8A83_5348EFAFB67F_.wvu.FilterData" localSheetId="2" hidden="1">'Basic Info'!$B$64:$B$65</definedName>
    <definedName name="Z_35C7FE4E_ECD1_4024_8A83_5348EFAFB67F_.wvu.PrintArea" localSheetId="0" hidden="1">'Introduction'!$A$1:$B$54</definedName>
    <definedName name="Z_35C7FE4E_ECD1_4024_8A83_5348EFAFB67F_.wvu.PrintArea" localSheetId="4" hidden="1">'SIR by Measure'!$C$7:$M$61</definedName>
    <definedName name="Z_35C7FE4E_ECD1_4024_8A83_5348EFAFB67F_.wvu.PrintTitles" localSheetId="13" hidden="1">'Interior Lighting'!$16:$16</definedName>
    <definedName name="Z_35C7FE4E_ECD1_4024_8A83_5348EFAFB67F_.wvu.Rows" localSheetId="0" hidden="1">'Introduction'!$17:$19</definedName>
    <definedName name="Z_35C7FE4E_ECD1_4024_8A83_5348EFAFB67F_.wvu.Rows" localSheetId="12" hidden="1">'In-Unit Lighting'!$60:$71</definedName>
    <definedName name="Z_35C7FE4E_ECD1_4024_8A83_5348EFAFB67F_.wvu.Rows" localSheetId="5" hidden="1">'LEED for Homes Mid-Rise Form'!$138:$161</definedName>
    <definedName name="Z_35C7FE4E_ECD1_4024_8A83_5348EFAFB67F_.wvu.Rows" localSheetId="4" hidden="1">'SIR by Measure'!$63:$128</definedName>
    <definedName name="Z_FD9E473F_0B4B_4DA5_A8FB_AA45E8AAEF05_.wvu.Cols" localSheetId="9" hidden="1">'Appliances'!$U:$V</definedName>
    <definedName name="Z_FD9E473F_0B4B_4DA5_A8FB_AA45E8AAEF05_.wvu.Cols" localSheetId="2" hidden="1">'Basic Info'!$I:$J</definedName>
    <definedName name="Z_FD9E473F_0B4B_4DA5_A8FB_AA45E8AAEF05_.wvu.Cols" localSheetId="8" hidden="1">'DHW Demand'!$Z:$AA</definedName>
    <definedName name="Z_FD9E473F_0B4B_4DA5_A8FB_AA45E8AAEF05_.wvu.Cols" localSheetId="15" hidden="1">'Infiltration&amp;Ventilation'!$P:$Q</definedName>
    <definedName name="Z_FD9E473F_0B4B_4DA5_A8FB_AA45E8AAEF05_.wvu.Cols" localSheetId="5" hidden="1">'LEED for Homes Mid-Rise Form'!$AD:$AD</definedName>
    <definedName name="Z_FD9E473F_0B4B_4DA5_A8FB_AA45E8AAEF05_.wvu.Cols" localSheetId="3" hidden="1">'Reporting Summary'!$AJ:$AP</definedName>
    <definedName name="Z_FD9E473F_0B4B_4DA5_A8FB_AA45E8AAEF05_.wvu.Cols" localSheetId="17" hidden="1">'Results from eQUEST'!$Y:$AW</definedName>
    <definedName name="Z_FD9E473F_0B4B_4DA5_A8FB_AA45E8AAEF05_.wvu.Cols" localSheetId="6" hidden="1">'Windows eQUEST'!$X:$X</definedName>
    <definedName name="Z_FD9E473F_0B4B_4DA5_A8FB_AA45E8AAEF05_.wvu.FilterData" localSheetId="2" hidden="1">'Basic Info'!$B$64:$B$65</definedName>
    <definedName name="Z_FD9E473F_0B4B_4DA5_A8FB_AA45E8AAEF05_.wvu.PrintArea" localSheetId="0" hidden="1">'Introduction'!$A$1:$B$54</definedName>
    <definedName name="Z_FD9E473F_0B4B_4DA5_A8FB_AA45E8AAEF05_.wvu.PrintArea" localSheetId="4" hidden="1">'SIR by Measure'!$C$7:$M$61</definedName>
    <definedName name="Z_FD9E473F_0B4B_4DA5_A8FB_AA45E8AAEF05_.wvu.PrintTitles" localSheetId="13" hidden="1">'Interior Lighting'!$16:$16</definedName>
    <definedName name="Z_FD9E473F_0B4B_4DA5_A8FB_AA45E8AAEF05_.wvu.Rows" localSheetId="0" hidden="1">'Introduction'!$17:$19</definedName>
    <definedName name="Z_FD9E473F_0B4B_4DA5_A8FB_AA45E8AAEF05_.wvu.Rows" localSheetId="12" hidden="1">'In-Unit Lighting'!$60:$71</definedName>
    <definedName name="Z_FD9E473F_0B4B_4DA5_A8FB_AA45E8AAEF05_.wvu.Rows" localSheetId="5" hidden="1">'LEED for Homes Mid-Rise Form'!$138:$161</definedName>
    <definedName name="Z_FD9E473F_0B4B_4DA5_A8FB_AA45E8AAEF05_.wvu.Rows" localSheetId="4" hidden="1">'SIR by Measure'!$63:$128</definedName>
  </definedNames>
  <calcPr fullCalcOnLoad="1"/>
</workbook>
</file>

<file path=xl/comments14.xml><?xml version="1.0" encoding="utf-8"?>
<comments xmlns="http://schemas.openxmlformats.org/spreadsheetml/2006/main">
  <authors>
    <author>gvijayakumar</author>
    <author>Administrator</author>
    <author>Gayathri Vijayakumar</author>
  </authors>
  <commentList>
    <comment ref="K1" authorId="0">
      <text>
        <r>
          <rPr>
            <b/>
            <sz val="9"/>
            <rFont val="Tahoma"/>
            <family val="2"/>
          </rPr>
          <t>Use maximum rated wattage for the fixture if following ASHRAE explicitly. EPA allows wattage to be calculated using wattage of installed lamps and ballast, regardless of maximum rated wattage of the fixture.</t>
        </r>
        <r>
          <rPr>
            <sz val="9"/>
            <rFont val="Tahoma"/>
            <family val="2"/>
          </rPr>
          <t xml:space="preserve">
</t>
        </r>
        <r>
          <rPr>
            <b/>
            <sz val="9"/>
            <rFont val="Tahoma"/>
            <family val="2"/>
          </rPr>
          <t xml:space="preserve">
Ballast power must be included.</t>
        </r>
      </text>
    </comment>
    <comment ref="N1" authorId="0">
      <text>
        <r>
          <rPr>
            <b/>
            <sz val="9"/>
            <rFont val="Tahoma"/>
            <family val="2"/>
          </rPr>
          <t>If the same fixture is used in apartments as common space, indicate "Common Space"</t>
        </r>
        <r>
          <rPr>
            <sz val="9"/>
            <rFont val="Tahoma"/>
            <family val="2"/>
          </rPr>
          <t xml:space="preserve">
</t>
        </r>
      </text>
    </comment>
    <comment ref="J1" authorId="1">
      <text>
        <r>
          <rPr>
            <b/>
            <sz val="9"/>
            <rFont val="Tahoma"/>
            <family val="2"/>
          </rPr>
          <t>User can overwrite default lumens per watt if needed, but need to provide documentation.</t>
        </r>
      </text>
    </comment>
    <comment ref="K2" authorId="2">
      <text>
        <r>
          <rPr>
            <b/>
            <sz val="8"/>
            <rFont val="Tahoma"/>
            <family val="2"/>
          </rPr>
          <t xml:space="preserve">Include ballast power. See Appendix B for typical values.
Ex. 13W CFL &gt;&gt;14W
</t>
        </r>
        <r>
          <rPr>
            <sz val="8"/>
            <rFont val="Tahoma"/>
            <family val="2"/>
          </rPr>
          <t xml:space="preserve">
</t>
        </r>
      </text>
    </comment>
    <comment ref="K3" authorId="2">
      <text>
        <r>
          <rPr>
            <b/>
            <sz val="8"/>
            <rFont val="Tahoma"/>
            <family val="2"/>
          </rPr>
          <t xml:space="preserve">Include ballast power. See Appendix B for typical values.
Ex. 13W CFL &gt;&gt;14W
</t>
        </r>
        <r>
          <rPr>
            <sz val="8"/>
            <rFont val="Tahoma"/>
            <family val="2"/>
          </rPr>
          <t xml:space="preserve">
</t>
        </r>
      </text>
    </comment>
    <comment ref="K4" authorId="2">
      <text>
        <r>
          <rPr>
            <b/>
            <sz val="8"/>
            <rFont val="Tahoma"/>
            <family val="2"/>
          </rPr>
          <t xml:space="preserve">Include ballast power. See Appendix B for typical values.
Ex. 13W CFL &gt;&gt;14W
</t>
        </r>
        <r>
          <rPr>
            <sz val="8"/>
            <rFont val="Tahoma"/>
            <family val="2"/>
          </rPr>
          <t xml:space="preserve">
</t>
        </r>
      </text>
    </comment>
    <comment ref="K5" authorId="2">
      <text>
        <r>
          <rPr>
            <b/>
            <sz val="8"/>
            <rFont val="Tahoma"/>
            <family val="2"/>
          </rPr>
          <t xml:space="preserve">Include ballast power. See Appendix B for typical values.
Ex. 13W CFL &gt;&gt;14W
</t>
        </r>
        <r>
          <rPr>
            <sz val="8"/>
            <rFont val="Tahoma"/>
            <family val="2"/>
          </rPr>
          <t xml:space="preserve">
</t>
        </r>
      </text>
    </comment>
    <comment ref="K6" authorId="2">
      <text>
        <r>
          <rPr>
            <b/>
            <sz val="8"/>
            <rFont val="Tahoma"/>
            <family val="2"/>
          </rPr>
          <t xml:space="preserve">Include ballast power. See Appendix B for typical values.
Ex. 13W CFL &gt;&gt;14W
</t>
        </r>
        <r>
          <rPr>
            <sz val="8"/>
            <rFont val="Tahoma"/>
            <family val="2"/>
          </rPr>
          <t xml:space="preserve">
</t>
        </r>
      </text>
    </comment>
    <comment ref="K7" authorId="2">
      <text>
        <r>
          <rPr>
            <b/>
            <sz val="8"/>
            <rFont val="Tahoma"/>
            <family val="2"/>
          </rPr>
          <t xml:space="preserve">Include ballast power. See Appendix B for typical values.
Ex. 13W CFL &gt;&gt;14W
</t>
        </r>
        <r>
          <rPr>
            <sz val="8"/>
            <rFont val="Tahoma"/>
            <family val="2"/>
          </rPr>
          <t xml:space="preserve">
</t>
        </r>
      </text>
    </comment>
    <comment ref="K8" authorId="2">
      <text>
        <r>
          <rPr>
            <b/>
            <sz val="8"/>
            <rFont val="Tahoma"/>
            <family val="2"/>
          </rPr>
          <t xml:space="preserve">Include ballast power. See Appendix B for typical values.
Ex. 13W CFL &gt;&gt;14W
</t>
        </r>
        <r>
          <rPr>
            <sz val="8"/>
            <rFont val="Tahoma"/>
            <family val="2"/>
          </rPr>
          <t xml:space="preserve">
</t>
        </r>
      </text>
    </comment>
    <comment ref="K9" authorId="2">
      <text>
        <r>
          <rPr>
            <b/>
            <sz val="8"/>
            <rFont val="Tahoma"/>
            <family val="2"/>
          </rPr>
          <t xml:space="preserve">Include ballast power. See Appendix B for typical values.
Ex. 13W CFL &gt;&gt;14W
</t>
        </r>
        <r>
          <rPr>
            <sz val="8"/>
            <rFont val="Tahoma"/>
            <family val="2"/>
          </rPr>
          <t xml:space="preserve">
</t>
        </r>
      </text>
    </comment>
    <comment ref="K10" authorId="2">
      <text>
        <r>
          <rPr>
            <b/>
            <sz val="8"/>
            <rFont val="Tahoma"/>
            <family val="2"/>
          </rPr>
          <t xml:space="preserve">Include ballast power. See Appendix B for typical values.
Ex. 13W CFL &gt;&gt;14W
</t>
        </r>
        <r>
          <rPr>
            <sz val="8"/>
            <rFont val="Tahoma"/>
            <family val="2"/>
          </rPr>
          <t xml:space="preserve">
</t>
        </r>
      </text>
    </comment>
    <comment ref="K11" authorId="2">
      <text>
        <r>
          <rPr>
            <b/>
            <sz val="8"/>
            <rFont val="Tahoma"/>
            <family val="2"/>
          </rPr>
          <t xml:space="preserve">Include ballast power. See Appendix B for typical values.
Ex. 13W CFL &gt;&gt;14W
</t>
        </r>
        <r>
          <rPr>
            <sz val="8"/>
            <rFont val="Tahoma"/>
            <family val="2"/>
          </rPr>
          <t xml:space="preserve">
</t>
        </r>
      </text>
    </comment>
    <comment ref="K12" authorId="2">
      <text>
        <r>
          <rPr>
            <b/>
            <sz val="8"/>
            <rFont val="Tahoma"/>
            <family val="2"/>
          </rPr>
          <t xml:space="preserve">Include ballast power. See Appendix B for typical values.
Ex. 13W CFL &gt;&gt;14W
</t>
        </r>
        <r>
          <rPr>
            <sz val="8"/>
            <rFont val="Tahoma"/>
            <family val="2"/>
          </rPr>
          <t xml:space="preserve">
</t>
        </r>
      </text>
    </comment>
    <comment ref="K13" authorId="2">
      <text>
        <r>
          <rPr>
            <b/>
            <sz val="8"/>
            <rFont val="Tahoma"/>
            <family val="2"/>
          </rPr>
          <t xml:space="preserve">Include ballast power. See Appendix B for typical values.
Ex. 13W CFL &gt;&gt;14W
</t>
        </r>
        <r>
          <rPr>
            <sz val="8"/>
            <rFont val="Tahoma"/>
            <family val="2"/>
          </rPr>
          <t xml:space="preserve">
</t>
        </r>
      </text>
    </comment>
    <comment ref="K14" authorId="2">
      <text>
        <r>
          <rPr>
            <b/>
            <sz val="8"/>
            <rFont val="Tahoma"/>
            <family val="2"/>
          </rPr>
          <t xml:space="preserve">Include ballast power. See Appendix B for typical values.
Ex. 13W CFL &gt;&gt;14W
</t>
        </r>
        <r>
          <rPr>
            <sz val="8"/>
            <rFont val="Tahoma"/>
            <family val="2"/>
          </rPr>
          <t xml:space="preserve">
</t>
        </r>
      </text>
    </comment>
    <comment ref="K15" authorId="2">
      <text>
        <r>
          <rPr>
            <b/>
            <sz val="8"/>
            <rFont val="Tahoma"/>
            <family val="2"/>
          </rPr>
          <t xml:space="preserve">Include ballast power. See Appendix B for typical values.
Ex. 13W CFL &gt;&gt;14W
</t>
        </r>
        <r>
          <rPr>
            <sz val="8"/>
            <rFont val="Tahoma"/>
            <family val="2"/>
          </rPr>
          <t xml:space="preserve">
</t>
        </r>
      </text>
    </comment>
    <comment ref="K16" authorId="2">
      <text>
        <r>
          <rPr>
            <b/>
            <sz val="8"/>
            <rFont val="Tahoma"/>
            <family val="2"/>
          </rPr>
          <t xml:space="preserve">Include ballast power. See Appendix B for typical values.
Ex. 13W CFL &gt;&gt;14W
</t>
        </r>
        <r>
          <rPr>
            <sz val="8"/>
            <rFont val="Tahoma"/>
            <family val="2"/>
          </rPr>
          <t xml:space="preserve">
</t>
        </r>
      </text>
    </comment>
    <comment ref="K17" authorId="2">
      <text>
        <r>
          <rPr>
            <b/>
            <sz val="8"/>
            <rFont val="Tahoma"/>
            <family val="2"/>
          </rPr>
          <t xml:space="preserve">Include ballast power. See Appendix B for typical values.
Ex. 13W CFL &gt;&gt;14W
</t>
        </r>
        <r>
          <rPr>
            <sz val="8"/>
            <rFont val="Tahoma"/>
            <family val="2"/>
          </rPr>
          <t xml:space="preserve">
</t>
        </r>
      </text>
    </comment>
    <comment ref="K18" authorId="2">
      <text>
        <r>
          <rPr>
            <b/>
            <sz val="8"/>
            <rFont val="Tahoma"/>
            <family val="2"/>
          </rPr>
          <t xml:space="preserve">Include ballast power. See Appendix B for typical values.
Ex. 13W CFL &gt;&gt;14W
</t>
        </r>
        <r>
          <rPr>
            <sz val="8"/>
            <rFont val="Tahoma"/>
            <family val="2"/>
          </rPr>
          <t xml:space="preserve">
</t>
        </r>
      </text>
    </comment>
    <comment ref="K19" authorId="2">
      <text>
        <r>
          <rPr>
            <b/>
            <sz val="8"/>
            <rFont val="Tahoma"/>
            <family val="2"/>
          </rPr>
          <t xml:space="preserve">Include ballast power. See Appendix B for typical values.
Ex. 13W CFL &gt;&gt;14W
</t>
        </r>
        <r>
          <rPr>
            <sz val="8"/>
            <rFont val="Tahoma"/>
            <family val="2"/>
          </rPr>
          <t xml:space="preserve">
</t>
        </r>
      </text>
    </comment>
    <comment ref="K20" authorId="2">
      <text>
        <r>
          <rPr>
            <b/>
            <sz val="8"/>
            <rFont val="Tahoma"/>
            <family val="2"/>
          </rPr>
          <t xml:space="preserve">Include ballast power. See Appendix B for typical values.
Ex. 13W CFL &gt;&gt;14W
</t>
        </r>
        <r>
          <rPr>
            <sz val="8"/>
            <rFont val="Tahoma"/>
            <family val="2"/>
          </rPr>
          <t xml:space="preserve">
</t>
        </r>
      </text>
    </comment>
    <comment ref="K21" authorId="2">
      <text>
        <r>
          <rPr>
            <b/>
            <sz val="8"/>
            <rFont val="Tahoma"/>
            <family val="2"/>
          </rPr>
          <t xml:space="preserve">Include ballast power. See Appendix B for typical values.
Ex. 13W CFL &gt;&gt;14W
</t>
        </r>
        <r>
          <rPr>
            <sz val="8"/>
            <rFont val="Tahoma"/>
            <family val="2"/>
          </rPr>
          <t xml:space="preserve">
</t>
        </r>
      </text>
    </comment>
    <comment ref="K22" authorId="2">
      <text>
        <r>
          <rPr>
            <b/>
            <sz val="8"/>
            <rFont val="Tahoma"/>
            <family val="2"/>
          </rPr>
          <t xml:space="preserve">Include ballast power. See Appendix B for typical values.
Ex. 13W CFL &gt;&gt;14W
</t>
        </r>
        <r>
          <rPr>
            <sz val="8"/>
            <rFont val="Tahoma"/>
            <family val="2"/>
          </rPr>
          <t xml:space="preserve">
</t>
        </r>
      </text>
    </comment>
    <comment ref="K23" authorId="2">
      <text>
        <r>
          <rPr>
            <b/>
            <sz val="8"/>
            <rFont val="Tahoma"/>
            <family val="2"/>
          </rPr>
          <t xml:space="preserve">Include ballast power. See Appendix B for typical values.
Ex. 13W CFL &gt;&gt;14W
</t>
        </r>
        <r>
          <rPr>
            <sz val="8"/>
            <rFont val="Tahoma"/>
            <family val="2"/>
          </rPr>
          <t xml:space="preserve">
</t>
        </r>
      </text>
    </comment>
    <comment ref="K24" authorId="2">
      <text>
        <r>
          <rPr>
            <b/>
            <sz val="8"/>
            <rFont val="Tahoma"/>
            <family val="2"/>
          </rPr>
          <t xml:space="preserve">Include ballast power. See Appendix B for typical values.
Ex. 13W CFL &gt;&gt;14W
</t>
        </r>
        <r>
          <rPr>
            <sz val="8"/>
            <rFont val="Tahoma"/>
            <family val="2"/>
          </rPr>
          <t xml:space="preserve">
</t>
        </r>
      </text>
    </comment>
  </commentList>
</comments>
</file>

<file path=xl/comments15.xml><?xml version="1.0" encoding="utf-8"?>
<comments xmlns="http://schemas.openxmlformats.org/spreadsheetml/2006/main">
  <authors>
    <author>Administrator</author>
    <author>gvijayakumar</author>
  </authors>
  <commentList>
    <comment ref="L8" authorId="0">
      <text>
        <r>
          <rPr>
            <b/>
            <sz val="9"/>
            <rFont val="Tahoma"/>
            <family val="2"/>
          </rPr>
          <t>Administrator:</t>
        </r>
        <r>
          <rPr>
            <sz val="9"/>
            <rFont val="Tahoma"/>
            <family val="2"/>
          </rPr>
          <t xml:space="preserve">
See Table 9.4.3B</t>
        </r>
      </text>
    </comment>
    <comment ref="B9" authorId="0">
      <text>
        <r>
          <rPr>
            <b/>
            <sz val="9"/>
            <rFont val="Tahoma"/>
            <family val="2"/>
          </rPr>
          <t>To determine Zone, see Table 9.4.3B of ASHRAE 90.1-2010</t>
        </r>
      </text>
    </comment>
    <comment ref="B30" authorId="0">
      <text>
        <r>
          <rPr>
            <b/>
            <sz val="9"/>
            <rFont val="Tahoma"/>
            <family val="2"/>
          </rPr>
          <t xml:space="preserve">May be used in tradable or non-tradable surfaces. </t>
        </r>
      </text>
    </comment>
    <comment ref="C37" authorId="1">
      <text>
        <r>
          <rPr>
            <sz val="9"/>
            <rFont val="Tahoma"/>
            <family val="2"/>
          </rPr>
          <t xml:space="preserve">Total values include additional 5% allowance per Table 9.4.5 of ASHRAE 90.1-2007 
</t>
        </r>
      </text>
    </comment>
  </commentList>
</comments>
</file>

<file path=xl/comments16.xml><?xml version="1.0" encoding="utf-8"?>
<comments xmlns="http://schemas.openxmlformats.org/spreadsheetml/2006/main">
  <authors>
    <author>gvijayakumar</author>
  </authors>
  <commentList>
    <comment ref="B17" authorId="0">
      <text>
        <r>
          <rPr>
            <sz val="9"/>
            <rFont val="Tahoma"/>
            <family val="2"/>
          </rPr>
          <t>This applies to central exhaust systems only.</t>
        </r>
        <r>
          <rPr>
            <b/>
            <sz val="9"/>
            <rFont val="Tahoma"/>
            <family val="2"/>
          </rPr>
          <t xml:space="preserve"> </t>
        </r>
      </text>
    </comment>
    <comment ref="B18" authorId="0">
      <text>
        <r>
          <rPr>
            <sz val="9"/>
            <rFont val="Tahoma"/>
            <family val="2"/>
          </rPr>
          <t>For exhaust fans with different runtimes, use formulas in row 61 and 64 to determine equivalent continuous flow rates and enter 24 hours here.
If not otherwise known, intermittent fans should be modeled using a 2 hour/day runtime.
For intermittent fans that are also used to provide whole-house ventilation, increase the runtime accordingly.</t>
        </r>
      </text>
    </comment>
    <comment ref="B54" authorId="0">
      <text>
        <r>
          <rPr>
            <sz val="9"/>
            <rFont val="Tahoma"/>
            <family val="2"/>
          </rPr>
          <t>This is the CONTINUOUS rate needed to meet ASHRAE 62.2-2007. This can also be met using a timer and a larger sized fan.
Ex. 20 CFM continuous is equivalent to an 80 CFM fan that operates 15 minutes each hour.</t>
        </r>
      </text>
    </comment>
    <comment ref="B56" authorId="0">
      <text>
        <r>
          <rPr>
            <sz val="9"/>
            <rFont val="Tahoma"/>
            <family val="2"/>
          </rPr>
          <t>If this is met using a timer approach, enter the equivalent continuous rate.</t>
        </r>
        <r>
          <rPr>
            <sz val="9"/>
            <rFont val="Tahoma"/>
            <family val="2"/>
          </rPr>
          <t xml:space="preserve">
Ex. An 80 CFM fan that operates 15 minutes each hour should be entered as 20 CFM.
You may choose to exceed the maximum CFM allowed in the baseline, however, your model must be penalized for the extra volume of ventilated air unless the additional CFM was needed to meet continuous local exhaust.</t>
        </r>
      </text>
    </comment>
    <comment ref="B55" authorId="0">
      <text>
        <r>
          <rPr>
            <sz val="9"/>
            <rFont val="Tahoma"/>
            <family val="2"/>
          </rPr>
          <t xml:space="preserve">Exceeding whole-house ventilation rates by more than 50% is permitted only if using continuously running local exhaust fans to meet whole-house ventilation. 
</t>
        </r>
      </text>
    </comment>
    <comment ref="B27" authorId="0">
      <text>
        <r>
          <rPr>
            <sz val="9"/>
            <rFont val="Tahoma"/>
            <family val="2"/>
          </rPr>
          <t xml:space="preserve">This assumes that all fans within the space are the same. To calculate the power consumption of different fans within the same space, you would need to modify the exhaust in row 16 to represent the CFM from one fan and record the power consumption. Repeat this step for the number of unique fans that you have.
</t>
        </r>
      </text>
    </comment>
    <comment ref="B16" authorId="0">
      <text>
        <r>
          <rPr>
            <sz val="9"/>
            <rFont val="Tahoma"/>
            <family val="2"/>
          </rPr>
          <t xml:space="preserve">For exhaust fans with different runtimes, use formulas in row 61 and 64 to determine equivalent continuous flow rates.
</t>
        </r>
      </text>
    </comment>
    <comment ref="B45" authorId="0">
      <text>
        <r>
          <rPr>
            <sz val="9"/>
            <rFont val="Tahoma"/>
            <family val="2"/>
          </rPr>
          <t>You may choose to exceed the maximum CFM allowed in the baseline, however, your model must be penalized for the extra volume of ventilated air.</t>
        </r>
      </text>
    </comment>
    <comment ref="B48" authorId="0">
      <text>
        <r>
          <rPr>
            <sz val="9"/>
            <rFont val="Tahoma"/>
            <family val="2"/>
          </rPr>
          <t>Kitchen volume shall be determined by drawing the smallest possible rectangle on the floor plan that encompasses all cabinets, pantries, islands, and peninsulas and multiplying by the average ceiling height for this area. Cabinet volume shall be included in the kitchen volume calculation.</t>
        </r>
        <r>
          <rPr>
            <sz val="9"/>
            <rFont val="Tahoma"/>
            <family val="2"/>
          </rPr>
          <t xml:space="preserve">
</t>
        </r>
      </text>
    </comment>
  </commentList>
</comments>
</file>

<file path=xl/comments19.xml><?xml version="1.0" encoding="utf-8"?>
<comments xmlns="http://schemas.openxmlformats.org/spreadsheetml/2006/main">
  <authors>
    <author>gvijayakumar</author>
  </authors>
  <commentList>
    <comment ref="G31" authorId="0">
      <text>
        <r>
          <rPr>
            <b/>
            <sz val="9"/>
            <rFont val="Tahoma"/>
            <family val="2"/>
          </rPr>
          <t>On-site electricity generation should be added as a negative value.</t>
        </r>
        <r>
          <rPr>
            <sz val="9"/>
            <rFont val="Tahoma"/>
            <family val="2"/>
          </rPr>
          <t xml:space="preserve">
</t>
        </r>
      </text>
    </comment>
  </commentList>
</comments>
</file>

<file path=xl/comments9.xml><?xml version="1.0" encoding="utf-8"?>
<comments xmlns="http://schemas.openxmlformats.org/spreadsheetml/2006/main">
  <authors>
    <author>Administrator</author>
  </authors>
  <commentList>
    <comment ref="G3" authorId="0">
      <text>
        <r>
          <rPr>
            <b/>
            <sz val="9"/>
            <rFont val="Tahoma"/>
            <family val="2"/>
          </rPr>
          <t xml:space="preserve">High consumption is only available for affordable housing. </t>
        </r>
      </text>
    </comment>
  </commentList>
</comments>
</file>

<file path=xl/sharedStrings.xml><?xml version="1.0" encoding="utf-8"?>
<sst xmlns="http://schemas.openxmlformats.org/spreadsheetml/2006/main" count="2060" uniqueCount="1032">
  <si>
    <t>Proposed Design (copy run that corresponds to proposed design from &lt;project name&gt;-Parms.csv to row 19 below)</t>
  </si>
  <si>
    <t>Manufacturer/Model</t>
  </si>
  <si>
    <t>Fixture Code</t>
  </si>
  <si>
    <t>Room Name</t>
  </si>
  <si>
    <t>Fixture Code (A,B,C etc)</t>
  </si>
  <si>
    <t>Quantity</t>
  </si>
  <si>
    <t>Fixture Wattage</t>
  </si>
  <si>
    <t>Total Installed Wattage, W</t>
  </si>
  <si>
    <t>Only the rooms for which there are specified hard-wired lighting fixtures should be entered in this table. Therefore, the total square feet that you list in this table might be smaller than the total square feet of the Apartments. If there are multiple fixtures per room, distribute area accordingly.</t>
  </si>
  <si>
    <r>
      <t xml:space="preserve">Red cells will indicate when </t>
    </r>
    <r>
      <rPr>
        <u val="single"/>
        <sz val="10"/>
        <rFont val="Arial"/>
        <family val="2"/>
      </rPr>
      <t>continuous</t>
    </r>
    <r>
      <rPr>
        <sz val="10"/>
        <rFont val="Arial"/>
        <family val="2"/>
      </rPr>
      <t xml:space="preserve"> baseline ventilation is not properly modeled.</t>
    </r>
  </si>
  <si>
    <t>Apartments and Balconies</t>
  </si>
  <si>
    <t>Exhaust Ventilation, CFM (Design/tested flows at grilles)</t>
  </si>
  <si>
    <t>$/Gallon</t>
  </si>
  <si>
    <t>Fossil Fuel, Btu</t>
  </si>
  <si>
    <t>9. When finished, be sure to delete any "#N/A" from blank rows.</t>
  </si>
  <si>
    <t>PROPOSED W/SF</t>
  </si>
  <si>
    <t>PTHP</t>
  </si>
  <si>
    <t>MMbtu</t>
  </si>
  <si>
    <t xml:space="preserve">Baseline 
Annual Consumption </t>
  </si>
  <si>
    <t>Proposed Design 
Annual Consumption</t>
  </si>
  <si>
    <t>% Savings</t>
  </si>
  <si>
    <t>Electric loads</t>
  </si>
  <si>
    <t>Ventilation fans</t>
  </si>
  <si>
    <t>Space heating</t>
  </si>
  <si>
    <t>Space cooling</t>
  </si>
  <si>
    <t>Domestic hot water</t>
  </si>
  <si>
    <t>Interior lighting</t>
  </si>
  <si>
    <t>Other (describe)</t>
  </si>
  <si>
    <t>Plug loads</t>
  </si>
  <si>
    <t>Gas loads</t>
  </si>
  <si>
    <t>Fuel oil loads</t>
  </si>
  <si>
    <t>Totals</t>
  </si>
  <si>
    <t>Oil loads</t>
  </si>
  <si>
    <r>
      <t>Total bldg ft</t>
    </r>
    <r>
      <rPr>
        <vertAlign val="superscript"/>
        <sz val="10"/>
        <rFont val="Arial"/>
        <family val="2"/>
      </rPr>
      <t>2</t>
    </r>
    <r>
      <rPr>
        <sz val="10"/>
        <rFont val="Arial"/>
        <family val="2"/>
      </rPr>
      <t>:</t>
    </r>
  </si>
  <si>
    <r>
      <t>Conditioned ft</t>
    </r>
    <r>
      <rPr>
        <vertAlign val="superscript"/>
        <sz val="10"/>
        <rFont val="Arial"/>
        <family val="2"/>
      </rPr>
      <t>2</t>
    </r>
    <r>
      <rPr>
        <sz val="10"/>
        <rFont val="Arial"/>
        <family val="2"/>
      </rPr>
      <t>:</t>
    </r>
  </si>
  <si>
    <r>
      <t>Average ft</t>
    </r>
    <r>
      <rPr>
        <vertAlign val="superscript"/>
        <sz val="10"/>
        <rFont val="Arial"/>
        <family val="2"/>
      </rPr>
      <t>2</t>
    </r>
  </si>
  <si>
    <r>
      <t>W/ft</t>
    </r>
    <r>
      <rPr>
        <vertAlign val="superscript"/>
        <sz val="9"/>
        <rFont val="Arial"/>
        <family val="2"/>
      </rPr>
      <t>2</t>
    </r>
  </si>
  <si>
    <t>Apartment</t>
  </si>
  <si>
    <t>3 - Bedroom</t>
  </si>
  <si>
    <t>4 - Bedroom</t>
  </si>
  <si>
    <t>Total Square Ft</t>
  </si>
  <si>
    <t>Conditioned?</t>
  </si>
  <si>
    <t>Heated &amp; Cooled</t>
  </si>
  <si>
    <t>Unconditioned</t>
  </si>
  <si>
    <t>Heated-Only</t>
  </si>
  <si>
    <t>Cooled-Only</t>
  </si>
  <si>
    <t>Table 5. Comparison of Inputs</t>
  </si>
  <si>
    <t>Table 6. Comparison of Estimated Consumption</t>
  </si>
  <si>
    <t>Table 7. Fuel Cost</t>
  </si>
  <si>
    <t>Table 8. Performance Rating Calculation</t>
  </si>
  <si>
    <t>Table 9. Energy Usage per Square Foot of Conditioned Area</t>
  </si>
  <si>
    <r>
      <t xml:space="preserve">Performance rating is shown in </t>
    </r>
    <r>
      <rPr>
        <b/>
        <sz val="10"/>
        <color indexed="10"/>
        <rFont val="Arial"/>
        <family val="2"/>
      </rPr>
      <t>Red Font</t>
    </r>
  </si>
  <si>
    <t>Annual Maint. ($)</t>
  </si>
  <si>
    <t>Date &amp; Time of Run</t>
  </si>
  <si>
    <t>File Name</t>
  </si>
  <si>
    <t>Case Description</t>
  </si>
  <si>
    <t>MBtu</t>
  </si>
  <si>
    <t>kBtu/sf/yr</t>
  </si>
  <si>
    <t>TDV-MBtu</t>
  </si>
  <si>
    <t>Do apartments have dishwashers?  (Y/N)</t>
  </si>
  <si>
    <t>kWh</t>
  </si>
  <si>
    <t>kW</t>
  </si>
  <si>
    <t>$</t>
  </si>
  <si>
    <t xml:space="preserve">Enter data in the cells highlighted with this color. </t>
  </si>
  <si>
    <t>Area Type</t>
  </si>
  <si>
    <t xml:space="preserve">Lighting Power Density </t>
  </si>
  <si>
    <t>Area</t>
  </si>
  <si>
    <t>W/SqFt</t>
  </si>
  <si>
    <t>Tradable</t>
  </si>
  <si>
    <t>Non-Tradable</t>
  </si>
  <si>
    <t>Notes:</t>
  </si>
  <si>
    <t xml:space="preserve">(1) Enter area of all illuminated walls or surfaces in the Area column </t>
  </si>
  <si>
    <t xml:space="preserve">Enter data in the cells highlighted in this color. </t>
  </si>
  <si>
    <t>NA</t>
  </si>
  <si>
    <t># of bedrooms</t>
  </si>
  <si>
    <t># of apartments</t>
  </si>
  <si>
    <t># of clothes washers</t>
  </si>
  <si>
    <t>Kitchen Faucet</t>
  </si>
  <si>
    <t>GPM</t>
  </si>
  <si>
    <t># kitchen faucets</t>
  </si>
  <si>
    <t>Bath Faucet</t>
  </si>
  <si>
    <t># lav faucets</t>
  </si>
  <si>
    <t>Units</t>
  </si>
  <si>
    <t>Appliances</t>
  </si>
  <si>
    <t>Electric Usage:</t>
  </si>
  <si>
    <t>Non-Coincident Peak Demand:</t>
  </si>
  <si>
    <t>Coincident Peak Demand:</t>
  </si>
  <si>
    <t>Fuel Usage:</t>
  </si>
  <si>
    <t>Source Energy:</t>
  </si>
  <si>
    <t>TDV Energy:</t>
  </si>
  <si>
    <t>Annual Utility Costs:</t>
  </si>
  <si>
    <t>SS-D</t>
  </si>
  <si>
    <t>PS-E</t>
  </si>
  <si>
    <t>BEPS</t>
  </si>
  <si>
    <t>TDV1</t>
  </si>
  <si>
    <t>ES-E</t>
  </si>
  <si>
    <t>Peak Cooling</t>
  </si>
  <si>
    <t>Ambient</t>
  </si>
  <si>
    <t>Task</t>
  </si>
  <si>
    <t>Misc</t>
  </si>
  <si>
    <t>Space</t>
  </si>
  <si>
    <t>Heat</t>
  </si>
  <si>
    <t>Ventilation</t>
  </si>
  <si>
    <t>Refrig</t>
  </si>
  <si>
    <t>Heat Pump</t>
  </si>
  <si>
    <t>Domestic</t>
  </si>
  <si>
    <t>Exterior</t>
  </si>
  <si>
    <t>Bldg</t>
  </si>
  <si>
    <t>Run</t>
  </si>
  <si>
    <t>Internal</t>
  </si>
  <si>
    <t>Case</t>
  </si>
  <si>
    <t>Short</t>
  </si>
  <si>
    <t>Carry</t>
  </si>
  <si>
    <t>Incremental</t>
  </si>
  <si>
    <t>Coil Load</t>
  </si>
  <si>
    <t>Lights</t>
  </si>
  <si>
    <t>Equip</t>
  </si>
  <si>
    <t>Heating</t>
  </si>
  <si>
    <t>Reject</t>
  </si>
  <si>
    <t>&amp; Aux</t>
  </si>
  <si>
    <t>Fans</t>
  </si>
  <si>
    <t>Display</t>
  </si>
  <si>
    <t>Supplement</t>
  </si>
  <si>
    <t>Hot Water</t>
  </si>
  <si>
    <t>Usage</t>
  </si>
  <si>
    <t>EUI</t>
  </si>
  <si>
    <t>Do not edit cells highlighted in this color.</t>
  </si>
  <si>
    <t># of washers</t>
  </si>
  <si>
    <t># of dishwashers</t>
  </si>
  <si>
    <t>Common Washer, kWh/yr-bldg</t>
  </si>
  <si>
    <t>In-Unit Clothes Washer, kWh/yr-bldg</t>
  </si>
  <si>
    <t># of dryers</t>
  </si>
  <si>
    <t>In-Unit Dryer, kWh/yr-bldg</t>
  </si>
  <si>
    <t>Common Dryer, kWh/yr-bldg</t>
  </si>
  <si>
    <t>Apartment Systems</t>
  </si>
  <si>
    <t xml:space="preserve"> </t>
  </si>
  <si>
    <t>Average # bedrooms in living units</t>
  </si>
  <si>
    <t>Common Washer, W/SqFt</t>
  </si>
  <si>
    <t>Common Dryer, W/SqFt</t>
  </si>
  <si>
    <t>F-factor</t>
  </si>
  <si>
    <t>1 Dryer</t>
  </si>
  <si>
    <t>In-Unit Washer, W/SqFt</t>
  </si>
  <si>
    <t>In-Unit Dryer, W/SqFt</t>
  </si>
  <si>
    <t>1 Stove</t>
  </si>
  <si>
    <t>Baseline Design</t>
  </si>
  <si>
    <t>Total Area For Space Type, SqFt</t>
  </si>
  <si>
    <t>Showerheads</t>
  </si>
  <si>
    <t>Bathroom Faucets</t>
  </si>
  <si>
    <t>Kitchen Faucets</t>
  </si>
  <si>
    <t>Baseline Fixtures, per EPAct 1992</t>
  </si>
  <si>
    <t>Fixture</t>
  </si>
  <si>
    <t>Flow Rate</t>
  </si>
  <si>
    <t>Baseline Toilets (GPF)</t>
  </si>
  <si>
    <t>Baseline Urinals (GPF)</t>
  </si>
  <si>
    <t>Baseline Showerheads (GPM)</t>
  </si>
  <si>
    <t>Baseline Bathroom Faucets (GPM)</t>
  </si>
  <si>
    <t>Baseline Kitchen Faucets (GPM)</t>
  </si>
  <si>
    <t>Fixture Use</t>
  </si>
  <si>
    <t>Fixture Type</t>
  </si>
  <si>
    <t>Duration (sec)</t>
  </si>
  <si>
    <t>Uses/Day/Occupant</t>
  </si>
  <si>
    <t>-</t>
  </si>
  <si>
    <t>In-Unit</t>
  </si>
  <si>
    <t>Common</t>
  </si>
  <si>
    <t>T24 DAY EQP WD</t>
  </si>
  <si>
    <t>Electric Stove, kWh/yr-blg</t>
  </si>
  <si>
    <t>Dishwasher, kWh/yr-unit</t>
  </si>
  <si>
    <t>Dishwasher, kWh/yr-bldg</t>
  </si>
  <si>
    <t>Dishwasher, W/SqFt</t>
  </si>
  <si>
    <t>In-Unit Clothes Washer, kWh/yr</t>
  </si>
  <si>
    <t>washer and dryer</t>
  </si>
  <si>
    <t>Common Washer, kWh/yr-machine</t>
  </si>
  <si>
    <t>DRYER</t>
  </si>
  <si>
    <t>T24 EQP WD</t>
  </si>
  <si>
    <t>Apt Equipment 1</t>
  </si>
  <si>
    <t>Corr &amp; Stairs Equipment 1</t>
  </si>
  <si>
    <t>Elevator W/SqFt</t>
  </si>
  <si>
    <t>Elevator Equipment 1</t>
  </si>
  <si>
    <t>Office W/SqFt</t>
  </si>
  <si>
    <t>Office Equipment 1</t>
  </si>
  <si>
    <t>Common area plug load schedule, SG 2.11 (Same as T24 EQP WD)</t>
  </si>
  <si>
    <t>Apartment Plug load schedule (Same as T24 DAY EQP WD)</t>
  </si>
  <si>
    <t>SqFt</t>
  </si>
  <si>
    <t>W</t>
  </si>
  <si>
    <t>Linear feet</t>
  </si>
  <si>
    <t>W/linear foot</t>
  </si>
  <si>
    <t>Ft</t>
  </si>
  <si>
    <t>Walkways less than 10 ft wide</t>
  </si>
  <si>
    <t>Enter actual NFRC values in the Proposed column.</t>
  </si>
  <si>
    <t>UA for eQuest</t>
  </si>
  <si>
    <t>Building Facades  (3)</t>
  </si>
  <si>
    <t>Baseline DW</t>
  </si>
  <si>
    <t xml:space="preserve">GAL/YR PER APT = </t>
  </si>
  <si>
    <t>gallons/day-apt (1 dishwasher)</t>
  </si>
  <si>
    <t>Proposed DW</t>
  </si>
  <si>
    <t>Basic Project Information</t>
  </si>
  <si>
    <t>Residential</t>
  </si>
  <si>
    <t>Storage, active</t>
  </si>
  <si>
    <t>Storage, inactive</t>
  </si>
  <si>
    <t>Lobby</t>
  </si>
  <si>
    <t>Corridor/Transition</t>
  </si>
  <si>
    <t>Stairs - Active</t>
  </si>
  <si>
    <t>Restroom</t>
  </si>
  <si>
    <t>Electrical/Mechanical</t>
  </si>
  <si>
    <t>Workshop</t>
  </si>
  <si>
    <t>Parking garage</t>
  </si>
  <si>
    <t>Baseline</t>
  </si>
  <si>
    <t>Proposed</t>
  </si>
  <si>
    <t xml:space="preserve">Enter hours/day in the cell highlighted in this color to generate a 24 hour schedule in column F. </t>
  </si>
  <si>
    <t xml:space="preserve">Exterior Lighting </t>
  </si>
  <si>
    <t>Garage, Corridors, Lobbies &amp; Stairs</t>
  </si>
  <si>
    <t>Elevator lighting should only be assigned to ONE elevator zone.</t>
  </si>
  <si>
    <t>Instructions:</t>
  </si>
  <si>
    <t>sum of area of all common laundry rooms</t>
  </si>
  <si>
    <t>Are they Energy Star rated? (Y/N/NA)</t>
  </si>
  <si>
    <t>These values will used to calculate the performance rating in the Simulation Summary worksheet</t>
  </si>
  <si>
    <t>Baseline PTAC fan energy should be simulated as 0.3 W/CFM</t>
  </si>
  <si>
    <t>Proposed lighting power density, W/SqFt</t>
  </si>
  <si>
    <t>8. If you need more rows for your building, add them at the bottom by copying rows above (or filling down).</t>
  </si>
  <si>
    <t>Fuel</t>
  </si>
  <si>
    <t>Type</t>
  </si>
  <si>
    <t>Loads</t>
  </si>
  <si>
    <t>#s</t>
  </si>
  <si>
    <t>Name</t>
  </si>
  <si>
    <t>Fwd</t>
  </si>
  <si>
    <t>First Cost ($)</t>
  </si>
  <si>
    <t>Refuse Room</t>
  </si>
  <si>
    <t>Laundry Room</t>
  </si>
  <si>
    <t>Sensible</t>
  </si>
  <si>
    <t>Latent</t>
  </si>
  <si>
    <t>Heat Ratio</t>
  </si>
  <si>
    <t>Average of 4 exposures (needed in Simulation Summary)</t>
  </si>
  <si>
    <t>Parking Garage</t>
  </si>
  <si>
    <t>Non Apartment, Non 24 hour</t>
  </si>
  <si>
    <t>Apartment Adjustment</t>
  </si>
  <si>
    <t>Hour</t>
  </si>
  <si>
    <t>GPM w/DOE APT DHW schedule</t>
  </si>
  <si>
    <t>Schedule</t>
  </si>
  <si>
    <t>DOE APT DHW</t>
  </si>
  <si>
    <t>EER</t>
  </si>
  <si>
    <t>Fan kW/CFM</t>
  </si>
  <si>
    <t>Building Area Summary (conditioned spaces only)</t>
  </si>
  <si>
    <t>In-Unit Lighting Table</t>
  </si>
  <si>
    <t>Room Area, SqFt</t>
  </si>
  <si>
    <t>Number of such rooms in the building</t>
  </si>
  <si>
    <t>Total Area, SqFt</t>
  </si>
  <si>
    <t>Summary</t>
  </si>
  <si>
    <t>Total in-unit area with specified lighting, SqFt</t>
  </si>
  <si>
    <t>Total specified lighting, W</t>
  </si>
  <si>
    <t>Specified lighting power density, W/SqFt</t>
  </si>
  <si>
    <t>Baseline lighting power density, W/SqFt</t>
  </si>
  <si>
    <t>Room Types</t>
  </si>
  <si>
    <t>Bathroom</t>
  </si>
  <si>
    <t>Bedroom</t>
  </si>
  <si>
    <t>Closet</t>
  </si>
  <si>
    <t>Dining Room</t>
  </si>
  <si>
    <t>Family Room</t>
  </si>
  <si>
    <t>Hall</t>
  </si>
  <si>
    <t>Kitchen</t>
  </si>
  <si>
    <t>Living Room</t>
  </si>
  <si>
    <t>Office</t>
  </si>
  <si>
    <t>Utility Room</t>
  </si>
  <si>
    <t>Baseline CW</t>
  </si>
  <si>
    <t>hot water gallons/yr  =</t>
  </si>
  <si>
    <t>Proposed CW</t>
  </si>
  <si>
    <t>Toilets</t>
  </si>
  <si>
    <t>Urinals</t>
  </si>
  <si>
    <t>DHW Storage Volume (gallons)</t>
  </si>
  <si>
    <t>Surface Area</t>
  </si>
  <si>
    <t>radius</t>
  </si>
  <si>
    <t>height</t>
  </si>
  <si>
    <t>DHW Storage Volume (cubic feet)</t>
  </si>
  <si>
    <t>NFRC U-value</t>
  </si>
  <si>
    <t>NFRC SHGC</t>
  </si>
  <si>
    <t>Daily operating hours</t>
  </si>
  <si>
    <t>hr/day</t>
  </si>
  <si>
    <t>APT LTG WD</t>
  </si>
  <si>
    <t>Adjusted Fraction</t>
  </si>
  <si>
    <t>Hr</t>
  </si>
  <si>
    <t>Fraction</t>
  </si>
  <si>
    <t>Refrigerator, kWh/yr-unit</t>
  </si>
  <si>
    <t>Refrigerator, kWh/yr-blg</t>
  </si>
  <si>
    <t>Refrigerator, W/SqFt</t>
  </si>
  <si>
    <t>Electric Stove, kWh/yr-unit</t>
  </si>
  <si>
    <t>Stove, W/SqFt</t>
  </si>
  <si>
    <t>In-unit, misc. kWh/yr-SqFt (SG 2-11)</t>
  </si>
  <si>
    <t xml:space="preserve">In-unit misc W/SqFt </t>
  </si>
  <si>
    <t>Apartments</t>
  </si>
  <si>
    <t>Area, SqFt</t>
  </si>
  <si>
    <t>Notes</t>
  </si>
  <si>
    <t xml:space="preserve">Residential </t>
  </si>
  <si>
    <t>Pumps</t>
  </si>
  <si>
    <t>Total</t>
  </si>
  <si>
    <t>Studio</t>
  </si>
  <si>
    <t>1 - Bedroom</t>
  </si>
  <si>
    <t>2 - Bedroom</t>
  </si>
  <si>
    <t>Building Area</t>
  </si>
  <si>
    <t>Conference/meeting/multipurpose</t>
  </si>
  <si>
    <t>Garage</t>
  </si>
  <si>
    <t>Other</t>
  </si>
  <si>
    <t>Natural Gas</t>
  </si>
  <si>
    <t>If oil is used rather than natural gas, modifications to table are needed.</t>
  </si>
  <si>
    <t>Include total floor area of all residential units in building</t>
  </si>
  <si>
    <t>Common Area</t>
  </si>
  <si>
    <t>Commercial Area</t>
  </si>
  <si>
    <t>Total Conditioned</t>
  </si>
  <si>
    <t>Fuel Cost</t>
  </si>
  <si>
    <t>Electricity</t>
  </si>
  <si>
    <t>$/kWh</t>
  </si>
  <si>
    <t>$/Therm</t>
  </si>
  <si>
    <t>Performance Rating Calculation</t>
  </si>
  <si>
    <t>BTU Savings, %</t>
  </si>
  <si>
    <t>$ Savings, %</t>
  </si>
  <si>
    <t>Electricity, Btu</t>
  </si>
  <si>
    <t>R-value</t>
  </si>
  <si>
    <t>Yes</t>
  </si>
  <si>
    <t>No</t>
  </si>
  <si>
    <t>Cost, $</t>
  </si>
  <si>
    <t>Annual Heating</t>
  </si>
  <si>
    <t xml:space="preserve">Annual Cooling </t>
  </si>
  <si>
    <t>Annual Lighting</t>
  </si>
  <si>
    <t>Annual Hot Water</t>
  </si>
  <si>
    <t>Annual Appliance</t>
  </si>
  <si>
    <t>Annual Other</t>
  </si>
  <si>
    <t>Cooling</t>
  </si>
  <si>
    <t>Therms</t>
  </si>
  <si>
    <t>Electric</t>
  </si>
  <si>
    <t>TDV-kBtu/sf/yr</t>
  </si>
  <si>
    <t>Energy Usage per Square Foot of Conditioned Area</t>
  </si>
  <si>
    <t>Btu/SqFt</t>
  </si>
  <si>
    <t>Under Ground Garage</t>
  </si>
  <si>
    <t>Above Ground Garage</t>
  </si>
  <si>
    <t>Parking Lot</t>
  </si>
  <si>
    <t>Gas</t>
  </si>
  <si>
    <t>Energy</t>
  </si>
  <si>
    <t>Average</t>
  </si>
  <si>
    <t>(3) Enter total linear foot of all illuminated wall or surface length</t>
  </si>
  <si>
    <t>kBtu</t>
  </si>
  <si>
    <t>Square Footage</t>
  </si>
  <si>
    <t>ASHRAE Space Type</t>
  </si>
  <si>
    <t>Installed quantity</t>
  </si>
  <si>
    <t>Fixture Installed Wattage</t>
  </si>
  <si>
    <t>Floor Multiplier</t>
  </si>
  <si>
    <t>Total Installed Wattage</t>
  </si>
  <si>
    <t>W/SF</t>
  </si>
  <si>
    <t>Exit Signs</t>
  </si>
  <si>
    <t xml:space="preserve">Instructions: </t>
  </si>
  <si>
    <t>Fill in cells highlighted with this color.</t>
  </si>
  <si>
    <t>CFM</t>
  </si>
  <si>
    <t>Space Type</t>
  </si>
  <si>
    <t>Number of Units (per building)</t>
  </si>
  <si>
    <t>Building Areas (per building)</t>
  </si>
  <si>
    <t>Type of Garage</t>
  </si>
  <si>
    <t>None</t>
  </si>
  <si>
    <t>Ceiling Height, Ft</t>
  </si>
  <si>
    <t>Total Volume For Space Type, CuFt</t>
  </si>
  <si>
    <t>Exhaust Runtime, hr/day</t>
  </si>
  <si>
    <t>Equivalent Continuous Exhaust, ACH</t>
  </si>
  <si>
    <t>Supply Ventilation, CFM</t>
  </si>
  <si>
    <t>Supply Runtime, hr/day</t>
  </si>
  <si>
    <t>Equivalent Continuous Supply, ACH</t>
  </si>
  <si>
    <t>Proposed Design</t>
  </si>
  <si>
    <t>Common Space Systems</t>
  </si>
  <si>
    <t>Common Space System1</t>
  </si>
  <si>
    <t>Common Space System2</t>
  </si>
  <si>
    <t>Common Space System3</t>
  </si>
  <si>
    <t>Common Space System4</t>
  </si>
  <si>
    <t>Common Space System5</t>
  </si>
  <si>
    <t>Common Space System6</t>
  </si>
  <si>
    <t>System Type</t>
  </si>
  <si>
    <t>PTAC</t>
  </si>
  <si>
    <t>Net Cooling Capacity, Btu/Hr</t>
  </si>
  <si>
    <t>Fan BHP</t>
  </si>
  <si>
    <t>Fan Motor Efficiency</t>
  </si>
  <si>
    <t>EIR or 1/COP</t>
  </si>
  <si>
    <t>Discount Rate:</t>
  </si>
  <si>
    <t>Baseline Components</t>
  </si>
  <si>
    <t>Proposed Components</t>
  </si>
  <si>
    <t>Incremental Metrics</t>
  </si>
  <si>
    <t>Lifecycle Savings</t>
  </si>
  <si>
    <t>Weighted Lifetime</t>
  </si>
  <si>
    <t>Description</t>
  </si>
  <si>
    <t>Baseline Cost</t>
  </si>
  <si>
    <t>Proposed Cost</t>
  </si>
  <si>
    <t>Costs</t>
  </si>
  <si>
    <t>Cost Savings</t>
  </si>
  <si>
    <t>Payback</t>
  </si>
  <si>
    <t>S.I.R.</t>
  </si>
  <si>
    <t>years</t>
  </si>
  <si>
    <t>MMBtu</t>
  </si>
  <si>
    <t>Energy Reduction Measures and Incremental Hard Costs</t>
  </si>
  <si>
    <t>Step1:</t>
  </si>
  <si>
    <t>Step2:</t>
  </si>
  <si>
    <t>Step3:</t>
  </si>
  <si>
    <t>(these rows can be manually entered for calculations done outside of eQuest such as Solar Hot Water, Solar PV, etc)</t>
  </si>
  <si>
    <t>Table 1. General Project Information</t>
  </si>
  <si>
    <t>Current Project Status:</t>
  </si>
  <si>
    <t>Builder / Developer:</t>
  </si>
  <si>
    <t>End Date (mo/yr):</t>
  </si>
  <si>
    <t>Name of contact:</t>
  </si>
  <si>
    <t>Project Name:</t>
  </si>
  <si>
    <t>Phone:</t>
  </si>
  <si>
    <t>Project Address:</t>
  </si>
  <si>
    <t>E-mail:</t>
  </si>
  <si>
    <t>Project City, State:</t>
  </si>
  <si>
    <t>Table 2. Modeling Information</t>
  </si>
  <si>
    <t>Modeler:</t>
  </si>
  <si>
    <t>Simulation Program:</t>
  </si>
  <si>
    <t>Company:</t>
  </si>
  <si>
    <t>Baseline:</t>
  </si>
  <si>
    <t>Weather File:</t>
  </si>
  <si>
    <t>Table 3. Building Information</t>
  </si>
  <si>
    <t># of stories</t>
  </si>
  <si>
    <t>Space heating fuel:</t>
  </si>
  <si>
    <t>Common space</t>
  </si>
  <si>
    <t>DHW fuel:</t>
  </si>
  <si>
    <t>Commercial</t>
  </si>
  <si>
    <t>Heating system:</t>
  </si>
  <si>
    <t>Cooling system:</t>
  </si>
  <si>
    <t>Ventilation system:</t>
  </si>
  <si>
    <t>Heated &amp; cooled</t>
  </si>
  <si>
    <t>Heated-only</t>
  </si>
  <si>
    <t>Cooled-only</t>
  </si>
  <si>
    <t>Apartment type</t>
  </si>
  <si>
    <t>1-BR</t>
  </si>
  <si>
    <t>2-BR</t>
  </si>
  <si>
    <t>3-BR</t>
  </si>
  <si>
    <t>4-BR</t>
  </si>
  <si>
    <t>Model Input Parameter</t>
  </si>
  <si>
    <t>Example Unit</t>
  </si>
  <si>
    <t>Baseline Design
(provide description and specification)</t>
  </si>
  <si>
    <t>Proposed Final Design
(provide description and specification)</t>
  </si>
  <si>
    <t>Building envelope</t>
  </si>
  <si>
    <t>Ext. wall construction</t>
  </si>
  <si>
    <t>Roof construction</t>
  </si>
  <si>
    <t>Floor / slab construction</t>
  </si>
  <si>
    <t>Windows</t>
  </si>
  <si>
    <t>U-factor</t>
  </si>
  <si>
    <t>North-facing windows</t>
  </si>
  <si>
    <t>SHGC</t>
  </si>
  <si>
    <t>Other window area</t>
  </si>
  <si>
    <t>Shading devices</t>
  </si>
  <si>
    <t>Lighting &amp; appliances</t>
  </si>
  <si>
    <t>Lighting power density:</t>
  </si>
  <si>
    <t>In-unit lighting power density</t>
  </si>
  <si>
    <t>Other interior lighting</t>
  </si>
  <si>
    <t>Exterior lighting</t>
  </si>
  <si>
    <t>Lighting controls</t>
  </si>
  <si>
    <t>Refrigerator</t>
  </si>
  <si>
    <t>Energy Star?</t>
  </si>
  <si>
    <t>Dishwasher</t>
  </si>
  <si>
    <t>Primary HVAC system type</t>
  </si>
  <si>
    <t>Exhaust fans</t>
  </si>
  <si>
    <t>Heating efficiency</t>
  </si>
  <si>
    <t>AFUE / HSPF</t>
  </si>
  <si>
    <t>Cooling efficiency</t>
  </si>
  <si>
    <t>SEER / EER</t>
  </si>
  <si>
    <t>Fan supply power</t>
  </si>
  <si>
    <t>Domestic Hot Water System</t>
  </si>
  <si>
    <t>Equipment effiency</t>
  </si>
  <si>
    <t>EF</t>
  </si>
  <si>
    <t>Faucets</t>
  </si>
  <si>
    <t>Solar DHW system</t>
  </si>
  <si>
    <t>% of load</t>
  </si>
  <si>
    <t>Renewable Electric Generation System</t>
  </si>
  <si>
    <t>Type of system</t>
  </si>
  <si>
    <t>Rated capacity</t>
  </si>
  <si>
    <t>End Use</t>
  </si>
  <si>
    <t>Fuel Oil</t>
  </si>
  <si>
    <t>First, fill in Basic Info tab.</t>
  </si>
  <si>
    <t>In the "Baseline Fixture" table, enter an estimated number of uses/day for urinals in the appropriate space.  Enter "0" if there are no urinals in building.</t>
  </si>
  <si>
    <t>The baseline usage values will generate automatically.</t>
  </si>
  <si>
    <t>When on-site collected graywater or rainwater is used for sewage conveyance, the total estimated annual graywater quantity may be subtracted from the total annual design case water usage. Estimated graywater quantity may not be greater than the total usage of fixtures that utilize it. For example, if graywater will be used only in flush toilets, the estimated graywater quantity cannot be greater than the total annual water used by the toilets.  Estimate graywater usage for each fixture type and enter the value in the appropriate cell.</t>
  </si>
  <si>
    <t>No. of Occupants</t>
  </si>
  <si>
    <t>Dishwasher Savings (Gal/yr)</t>
  </si>
  <si>
    <t>Clothes Washers Savings (Gal/yr)</t>
  </si>
  <si>
    <t>Baseline Fixture</t>
  </si>
  <si>
    <t>Baseline Usage (Gallons/year)</t>
  </si>
  <si>
    <t>Proposed Fixture</t>
  </si>
  <si>
    <t>Proposed Fixture Flow Rate (GPM/GPF)</t>
  </si>
  <si>
    <t>Graywater Usage (Gallons/year)</t>
  </si>
  <si>
    <t>Proposed Usage (Gallons/year)</t>
  </si>
  <si>
    <t>Savings by Fixture Type</t>
  </si>
  <si>
    <t>Water Usage Savings (Gallons/year)</t>
  </si>
  <si>
    <t>Cost Savings ($/year)</t>
  </si>
  <si>
    <t>Baseline Flow Rates (GPF/GPM)</t>
  </si>
  <si>
    <t>First fill in the Interior Lighting tab (this information will populate the square footages for this table)</t>
  </si>
  <si>
    <t>Only fill in cells highlighted with this color.</t>
  </si>
  <si>
    <t xml:space="preserve">The remaining values will generate automatically.  Water usage savings and cost savings may be reported as indicated in the Water Savings section of the Simulation Guidelines. </t>
  </si>
  <si>
    <t>Average Price per Gallon of Water</t>
  </si>
  <si>
    <t>Data to be entered into software.</t>
  </si>
  <si>
    <t>Occupancy</t>
  </si>
  <si>
    <t>Low</t>
  </si>
  <si>
    <t>Medium</t>
  </si>
  <si>
    <t>High</t>
  </si>
  <si>
    <t>gallons per person per day</t>
  </si>
  <si>
    <t>Total Gal/day (occupant only)</t>
  </si>
  <si>
    <t>Total hot water gallons/day (all clothes washers)</t>
  </si>
  <si>
    <t>First fill in the Basic Info and Water Savings tabs.</t>
  </si>
  <si>
    <t>Stove Type</t>
  </si>
  <si>
    <t>Baseline kWh/yr for elevator</t>
  </si>
  <si>
    <t>Proposed kWh/yr (same as Baseline if not requesting performance credit)</t>
  </si>
  <si>
    <t>Elevator Type:</t>
  </si>
  <si>
    <t>Area of Elevator:</t>
  </si>
  <si>
    <t>Use this worksheet to generate schedules for lighting inputs.</t>
  </si>
  <si>
    <t>Do not edit cells highlighted in this color. These calculated values are for editing or creating schedules.</t>
  </si>
  <si>
    <t>Credit for occupancy sensors can be applied to corridors and stairs by reducing proposed W/SF by 25% and 35% respectively.</t>
  </si>
  <si>
    <t>Do not edit cells highlighted in this color. These calculated values are to be entered into software as W/SF for Apartment zones.</t>
  </si>
  <si>
    <t>BASELINE W/SF</t>
  </si>
  <si>
    <t>BASELINE WATTS</t>
  </si>
  <si>
    <t>Data to be entered into simulation software.</t>
  </si>
  <si>
    <t>Supply Ventilation for Apartments should be mechanical supply or trickle vents, but not corridor make-up air.</t>
  </si>
  <si>
    <t>ACH or CFM/SF can be used for data entry.</t>
  </si>
  <si>
    <t>Data to be entered in simulation software.</t>
  </si>
  <si>
    <t>For gas heated buildings using System 1 - PTAC, use the top chart to calculate cooling-EIR</t>
  </si>
  <si>
    <t>For electric heated buildings using System 2 - PTHP, use the bottom chart to calculate cooling-EIR</t>
  </si>
  <si>
    <t>Number of Stories:</t>
  </si>
  <si>
    <t>Sign-off by energy modeler</t>
  </si>
  <si>
    <t>Signature:</t>
  </si>
  <si>
    <t>I hereby verify that the information provided in the tables below is accurate and complete, to the best of my knowledge.</t>
  </si>
  <si>
    <t>Name:</t>
  </si>
  <si>
    <t>Date:</t>
  </si>
  <si>
    <t>Sign-off by project team leader</t>
  </si>
  <si>
    <r>
      <t xml:space="preserve">LEED for Homes Mid-rise Pilot 
</t>
    </r>
    <r>
      <rPr>
        <b/>
        <sz val="16"/>
        <rFont val="Arial"/>
        <family val="2"/>
      </rPr>
      <t>Energy Model Information Form</t>
    </r>
  </si>
  <si>
    <t xml:space="preserve">Please provide the information in the following tables. This information should be provided by the energy modeler with input from the project team. This form should be submitted to USGBC at the end of design (after completion of CDs), then updated upon final construction and on-site verification. </t>
  </si>
  <si>
    <t>Mbtu</t>
  </si>
  <si>
    <t>Schedules</t>
  </si>
  <si>
    <t>Heating temp (occ/unocc)</t>
  </si>
  <si>
    <t>°F, hours</t>
  </si>
  <si>
    <t>Cooling temp (occ/unocc)</t>
  </si>
  <si>
    <t>hours/day</t>
  </si>
  <si>
    <t>Interior non-apt lighting</t>
  </si>
  <si>
    <t>Interior apt lighting</t>
  </si>
  <si>
    <t>Window/wall area ratio</t>
  </si>
  <si>
    <t>WWA</t>
  </si>
  <si>
    <t>Space, %</t>
  </si>
  <si>
    <t>Refrigerators</t>
  </si>
  <si>
    <t>Model, #</t>
  </si>
  <si>
    <t>Annual energy use</t>
  </si>
  <si>
    <t>kWh/year</t>
  </si>
  <si>
    <t>Dishwashers</t>
  </si>
  <si>
    <t>Annual hot water use</t>
  </si>
  <si>
    <t>gal/year</t>
  </si>
  <si>
    <t>Clothes Washers</t>
  </si>
  <si>
    <t>Clothes Dryers</t>
  </si>
  <si>
    <t>Elec/gas</t>
  </si>
  <si>
    <t>kWh, therms</t>
  </si>
  <si>
    <t>Cooking Fuel</t>
  </si>
  <si>
    <t>Apartment Plug Loads</t>
  </si>
  <si>
    <t>Non-apartment Plug Loads</t>
  </si>
  <si>
    <t>W/sf or kWh/sf</t>
  </si>
  <si>
    <t>Elevators</t>
  </si>
  <si>
    <t>Type, model</t>
  </si>
  <si>
    <t>HVAC System</t>
  </si>
  <si>
    <t>System 1, 2</t>
  </si>
  <si>
    <t>Exhaust fan efficiency</t>
  </si>
  <si>
    <t>CFM/watt</t>
  </si>
  <si>
    <t>Infiltration rate</t>
  </si>
  <si>
    <t>ACH, CFM/p</t>
  </si>
  <si>
    <t>Exhaust rates</t>
  </si>
  <si>
    <t>AFUE / COP</t>
  </si>
  <si>
    <t>Hot water loop parameters</t>
  </si>
  <si>
    <t>°F, reset</t>
  </si>
  <si>
    <t>Hot water pump parameters</t>
  </si>
  <si>
    <t>VSD, W/gpm</t>
  </si>
  <si>
    <t>Fan supply volume</t>
  </si>
  <si>
    <t>Distribution efficiency</t>
  </si>
  <si>
    <t>1.0 / 0.95</t>
  </si>
  <si>
    <t>Cooling adjustment coeff</t>
  </si>
  <si>
    <t>Total hot water demand</t>
  </si>
  <si>
    <t>gal/day</t>
  </si>
  <si>
    <t>0 degree rotation</t>
  </si>
  <si>
    <t>90 degree rotation</t>
  </si>
  <si>
    <t>180 degree rotation</t>
  </si>
  <si>
    <t>270 degree rotation</t>
  </si>
  <si>
    <t>average monthly electricity costs per apartment</t>
  </si>
  <si>
    <t>average monthly gas costs per apartment</t>
  </si>
  <si>
    <t>Parametric Run</t>
  </si>
  <si>
    <t>Energy Savings By Measure (copy runs that correspond to EACH parametric run from &lt;project name&gt;-Parms.csv to rows below). These are used to calculate savings in SIR by Measure worksheet</t>
  </si>
  <si>
    <t>Site BTU Savings, %</t>
  </si>
  <si>
    <t>Watts</t>
  </si>
  <si>
    <t>W/SF, per ASHRAE 90.1, Table 9.6.1</t>
  </si>
  <si>
    <t>Baseline Lighting Allowance</t>
  </si>
  <si>
    <t>Proposed Lighting Allowance</t>
  </si>
  <si>
    <t xml:space="preserve">Use values from the cells highlighted in this color in the energy simulations. </t>
  </si>
  <si>
    <t>5 W/face</t>
  </si>
  <si>
    <t>None Installed</t>
  </si>
  <si>
    <t>Non-ENERGY STAR</t>
  </si>
  <si>
    <t>HSPF</t>
  </si>
  <si>
    <t>SEER</t>
  </si>
  <si>
    <t>Equipment efficiency</t>
  </si>
  <si>
    <t>COP</t>
  </si>
  <si>
    <t>% AFUE</t>
  </si>
  <si>
    <t>U-factor or R</t>
  </si>
  <si>
    <t>kWh/sf</t>
  </si>
  <si>
    <t>CFM/W</t>
  </si>
  <si>
    <t>HP</t>
  </si>
  <si>
    <t>BHP</t>
  </si>
  <si>
    <t>Exhaust Fan Type</t>
  </si>
  <si>
    <t>Ceiling (10-80 CFM)</t>
  </si>
  <si>
    <t>Ceiling (90-500 CFM)</t>
  </si>
  <si>
    <t>Motor Efficiency</t>
  </si>
  <si>
    <r>
      <t>P</t>
    </r>
    <r>
      <rPr>
        <sz val="8"/>
        <rFont val="Arial"/>
        <family val="2"/>
      </rPr>
      <t>fan (Watts)</t>
    </r>
  </si>
  <si>
    <t>ACH</t>
  </si>
  <si>
    <t>72/70</t>
  </si>
  <si>
    <t>78/80</t>
  </si>
  <si>
    <t>Table 6. Outputs:  Estimated Consumption for Baseline Design</t>
  </si>
  <si>
    <t>Common Area Equipment 1</t>
  </si>
  <si>
    <t>Corridor, restrooms &amp; Stairs W/SqFt</t>
  </si>
  <si>
    <t>Other Public and Common Area W/SqFt</t>
  </si>
  <si>
    <t>March 2010 Update</t>
  </si>
  <si>
    <t>In addition to this form, every project must submit the following:</t>
  </si>
  <si>
    <t>1) sample input summary reports, 
2) output reports showing consumption by end-use, energy cost by fuel, and unmet load hours.
3) calculations for appliances, domestic hot water, and lighting, as per the EPA Multifamily High Rise Program Simulation Guidelines, published November 2009
4) calculations related to renewable energy use (California projects only)</t>
  </si>
  <si>
    <t>2) output reports showing consumption by end-use, energy cost by fuel, and unmet load hours.
3) calculations for appliances, domestic hot water, and lighting, as per the EPA Multifamily High Rise Program Simulation Guidelines, published November 2009
4) calculations related to renewable energy use (California projects only)</t>
  </si>
  <si>
    <t>3) calculations for appliances, domestic hot water, and lighting, as per the EPA Multifamily High Rise Program 
     Simulation Guidelines, published November 2009.</t>
  </si>
  <si>
    <t>4) calculations related to renewable energy use (California projects only)</t>
  </si>
  <si>
    <t xml:space="preserve">Examples of reports include: </t>
  </si>
  <si>
    <t>TREAT:</t>
  </si>
  <si>
    <t>TREAT Input, TREAT Output, NYSERDA Spreadsheets for TREAT</t>
  </si>
  <si>
    <t>DOE-2:</t>
  </si>
  <si>
    <t>BEPS, BEPU, ES-D</t>
  </si>
  <si>
    <t>EnergyPro:</t>
  </si>
  <si>
    <t>PERF-1, UTIL-1, ECON-1, Mid-Rise Title 24 Spreadsheet</t>
  </si>
  <si>
    <t>TRACE:</t>
  </si>
  <si>
    <t>Entered Values, Energy Cost Budget, Energy Consumption Summary, Equipment Energy Consumption</t>
  </si>
  <si>
    <t>HAP:</t>
  </si>
  <si>
    <t>Annual Cost Summary, Energy Cost Budget by System Component, Unmet Load Report</t>
  </si>
  <si>
    <t>HAP v4.4:</t>
  </si>
  <si>
    <t>LEED NC 2.2 EA Credit 1 Summary Report</t>
  </si>
  <si>
    <t>Heating system type:</t>
  </si>
  <si>
    <t>Cooling system type:</t>
  </si>
  <si>
    <t>Ventilation system type:</t>
  </si>
  <si>
    <t>Table 4. Comparison of Inputs</t>
  </si>
  <si>
    <t>Table 5. Comparison of Estimated Consumption</t>
  </si>
  <si>
    <t>ASHRAE 90.1-2007</t>
  </si>
  <si>
    <t>Nonresidential</t>
  </si>
  <si>
    <t>Baseline fenestration is based on construction. Wood-frame buildings use nonmetal framing; all others use applicable metal framing.</t>
  </si>
  <si>
    <t>For proposed design simulation, enter exterior lighting specified on drawings.</t>
  </si>
  <si>
    <t>&lt;Enter "0" below if no urinals&gt;</t>
  </si>
  <si>
    <t xml:space="preserve">If Proposed façade lighting is less than Baseline allowance, model baseline the same as proposed. </t>
  </si>
  <si>
    <r>
      <t xml:space="preserve">Include floor area of </t>
    </r>
    <r>
      <rPr>
        <sz val="10"/>
        <rFont val="Arial"/>
        <family val="2"/>
      </rPr>
      <t>enclosed/underground garages</t>
    </r>
  </si>
  <si>
    <t>Include combined floor area of residential-associated spaces (corridors, recreation areas, lobbies, etc.)</t>
  </si>
  <si>
    <t>Include combined floor area of nonresidential spaces (commerical, office, retail, food sales, etc.)</t>
  </si>
  <si>
    <t>Corridor Supply Air can be modeled as Outside Air in software.</t>
  </si>
  <si>
    <t>Kitchen Area:</t>
  </si>
  <si>
    <t>Kitchen Ceiling height:</t>
  </si>
  <si>
    <t>Continuous CFM equivalent to 5ACH (62.2-2007):</t>
  </si>
  <si>
    <t>Whole Unit Ventilation Rate (62.2-2007):</t>
  </si>
  <si>
    <t>Studios</t>
  </si>
  <si>
    <t>1BR</t>
  </si>
  <si>
    <t>2BR</t>
  </si>
  <si>
    <t>3BR</t>
  </si>
  <si>
    <t>4BR</t>
  </si>
  <si>
    <t>Average Area (SqFt):</t>
  </si>
  <si>
    <t>ENERGY STAR? (Y/N)</t>
  </si>
  <si>
    <t>If building uses more than one fossil fuel or uses oil instead of gas for heating, adjustments are needed.</t>
  </si>
  <si>
    <t>Climate Zone 1</t>
  </si>
  <si>
    <t>Metal Framing (all other)</t>
  </si>
  <si>
    <t>Nonmetal Framing (all)</t>
  </si>
  <si>
    <t>Metal Framing (entrance door)</t>
  </si>
  <si>
    <t>Metal Framing (storefront)</t>
  </si>
  <si>
    <t>U-value</t>
  </si>
  <si>
    <t xml:space="preserve">Climate Zone 2 </t>
  </si>
  <si>
    <t>Climate Zone 3</t>
  </si>
  <si>
    <t>Climate Zone 4</t>
  </si>
  <si>
    <t>Climate Zone 5</t>
  </si>
  <si>
    <t>Climate Zone 6</t>
  </si>
  <si>
    <t>Climate Zone 7</t>
  </si>
  <si>
    <t>NR</t>
  </si>
  <si>
    <t>Climate Zone 8</t>
  </si>
  <si>
    <t xml:space="preserve">Using ASHRAE 90.1-2007 Table 5.5 (copied below), enter values for your Climate Zone and framing in the Baseline column. </t>
  </si>
  <si>
    <t>Climate Zone</t>
  </si>
  <si>
    <t>Construction Type</t>
  </si>
  <si>
    <t>Wood-frame</t>
  </si>
  <si>
    <t>Nonresidential Spaces (ie. commercial)</t>
  </si>
  <si>
    <t>Performance Path Calculator</t>
  </si>
  <si>
    <t>Basic Info</t>
  </si>
  <si>
    <t>Reporting Summary</t>
  </si>
  <si>
    <t>SIR by Measure</t>
  </si>
  <si>
    <t>LEED for Homes Mid-Rise Form</t>
  </si>
  <si>
    <t>Water Savings</t>
  </si>
  <si>
    <t>DHW Demand</t>
  </si>
  <si>
    <t>Lighting Schedule</t>
  </si>
  <si>
    <t>In-Unit Lighting</t>
  </si>
  <si>
    <t>Interior Lighting</t>
  </si>
  <si>
    <t>Exterior Lighting</t>
  </si>
  <si>
    <t>Infiltration&amp;Ventilation</t>
  </si>
  <si>
    <t>EIR for PTAC or PTHP</t>
  </si>
  <si>
    <t>Simulation Summary</t>
  </si>
  <si>
    <t>In blue cells only, enter the basic information about the building (number of units, square footage of the apartments and commercial spaces, type of garage (if applicable) and indicate the level of space conditioning in each zone). All other square footages will auto-fill after completion of the Interior Lighting worksheet.</t>
  </si>
  <si>
    <t>In blue cells only, enter general information about the project, the model and specifics about the ASHRAE compliant components of the Baseline Building and the energy efficient components in the Proposed Design.</t>
  </si>
  <si>
    <t>For projects pursuing LEED for Homes Mid-Rise certification, enter data in blue cells only. This form has been provided by the USGBC and can be used in submittals for that program.</t>
  </si>
  <si>
    <t>By entering data in blue cells only, this worksheet will calculate the water savings in gallons based on the proposed flow rates entered. This information does not affect the Performance Rating but can be used when calculating SIR to justify measures that reduce consumption of water.</t>
  </si>
  <si>
    <t>Enter in occupancy usage characteristic (low/medium/high) and information about the appliances that consume water in the building. You must enter data in the Basic Info and Water Savings tab, prior to this tab.</t>
  </si>
  <si>
    <t>Enter data in blue cells. Values are calculated in W/SF or kWh/yr for entry into software.</t>
  </si>
  <si>
    <t xml:space="preserve">Using floor plans, a lighting schedule, and lighting cut sheets, fill in the details of this worksheet. This will sum the square footages by ASHRAE space type for reporting purposes on the Basic Info tab, and calculate the lighting power density to be modeled per room. It also provides the maximum wattage allowed by ASHRAE 90.1 for that room, which can be more useful to the design team than the lighting power density. To help project compliance with program Prerequisites, zones are highlighted in red that exceed ASHRAE LPD’s by more than 20%, which reduce the energy savings of the building, as well as zones that have insufficient illumination. </t>
  </si>
  <si>
    <t>Enter details in blue cells only on exterior areas to be illuminated. The total wattage will be provided for input into the simulation software.</t>
  </si>
  <si>
    <t>Note that throughout these worksheets, common information from cells are linked and should automatically update.  Only cells shaded in blue need to be entered manually. Entering values into white or orange cells will override pre-determined formulas.</t>
  </si>
  <si>
    <t xml:space="preserve">The following worksheets detail the information regarding the recommended scope of work and document the achievement of the 15% Performance Target. Some cells are protected to prevent accidental over-writing of formulas. </t>
  </si>
  <si>
    <t>Copy runs corresponding to four orientation exposures from baseline Parms.csv to row 13-16 below. If not rotated, copy into row 13 only.</t>
  </si>
  <si>
    <t>First, fill out Basic Info and DHW Demand tabs.</t>
  </si>
  <si>
    <t>Copy run that corresponds to proposed design from proposed Parms.csv to row 19 below</t>
  </si>
  <si>
    <t>Baseline Design (copy runs corresponding to four exposures from &lt;project name&gt;-Parms.csv to row 13-16 below)</t>
  </si>
  <si>
    <t>Although not required by the EPA to earn the ENERGY STAR, if incremental costs are entered, this worksheet can be used to determine the cost effectiveness for each recommended measure and for the project as a whole.</t>
  </si>
  <si>
    <r>
      <t xml:space="preserve">Per ASHRAE 9.1.4, screw-based fixtures must be entered using the maximum rated wattage of the </t>
    </r>
    <r>
      <rPr>
        <b/>
        <u val="single"/>
        <sz val="10"/>
        <rFont val="Arial"/>
        <family val="2"/>
      </rPr>
      <t>fixture</t>
    </r>
    <r>
      <rPr>
        <sz val="10"/>
        <rFont val="Arial"/>
        <family val="2"/>
      </rPr>
      <t>, even if a screw-based CFL or LED is installed. As this requirement is waived for this program, screw-base fixtures may be entered using the installed lamp and ballast wattage or the maximum rated wattage of the fixture.</t>
    </r>
  </si>
  <si>
    <t>Windows eQUEST</t>
  </si>
  <si>
    <t>Results from eQUEST</t>
  </si>
  <si>
    <t>This worksheet requires you to enter the fuel prices in order to calculate the overall energy cost savings, which are required to demonstrate achievement of the Performance Target.  This tab links to the Results eQUEST tab and is based on natural gas or electric heat. To use oil, modifications to this tab would be needed.</t>
  </si>
  <si>
    <t>Although developed initially for eQUEST users, the approach can be used for other simulation software if the energy efficiency of these systems are entered in terms of EIR, rather than EER.</t>
  </si>
  <si>
    <t>Although developed initially for eQUEST users, the approach can be used for other simulation software if needed. The approach allows for infiltration and exhaust in apartments to be combined in the worksheet and a combined value to be entered into the software.</t>
  </si>
  <si>
    <t>For eQUEST users only, this calculates the Shading Coefficient for entry into eQUEST and modifies the NFRC U-factor to exclude the air-film.</t>
  </si>
  <si>
    <t>Developed for eQUEST users, but can be used with other software to translate total operating hours/day into an hourly schedule that meets the requirements from the Simulation Guidelines.</t>
  </si>
  <si>
    <t xml:space="preserve">For eQUEST users only, this worksheet is based upon the Parms.csv file that is generated upon simulation of your building. If those results are pasted into this worksheet, according to the directions, the performance rating will automatically calculate in the Simulation Summary worksheet. </t>
  </si>
  <si>
    <t>Data to be entered in eQUEST as Equipment or Internal Energy Sources.</t>
  </si>
  <si>
    <t>In eQUEST, exit Signs can be added as Lighting #2 (kW) in the appropriate zones.</t>
  </si>
  <si>
    <t>Low/medium/high usage (see Simulation Guidelines, 3.9.2)</t>
  </si>
  <si>
    <t>Use calculated values as inputs into eQUEST Glass Type Properties - Basic Specifications screen.</t>
  </si>
  <si>
    <t>eQUEST SC</t>
  </si>
  <si>
    <t>eQUEST U-value</t>
  </si>
  <si>
    <t>Open Parms.csv file that corresponds to baseline and proposed eQUEST models.</t>
  </si>
  <si>
    <t>First fill in the Basic Info worksheet and copy results into Result Summary eQUEST worksheet.</t>
  </si>
  <si>
    <t>Baseline and Proposed design fuel usage is copied from the corresponding rows in Result Summary eQUEST worksheet.</t>
  </si>
  <si>
    <t>Enter details and counts of installed lighting fixtures in apartments only. Square footage not illuminated by these fixtures will have a default lighting power density of 1.1 W/Sf assigned to both baseline and proposed. Installed fixtures in rooms where supplemental light will be provided by the occupant or through switched outlets, shall not be modeled as providing illumination for the entire room. Overall lighting power density is calculated on this worksheet for input into software.</t>
  </si>
  <si>
    <t>Minimum CFM required:</t>
  </si>
  <si>
    <t>Maximum CFM allowed in Baseline:</t>
  </si>
  <si>
    <t>Proposed CFM:</t>
  </si>
  <si>
    <t>In eQUEST, electricity for exhaust fans should be modeled as Direct-Interior or Exterior Loads in Electric Meter, with Ventilation Fans enduse.</t>
  </si>
  <si>
    <t>INTERMITTENT OR CONTINUOUS?:</t>
  </si>
  <si>
    <t>Intermittent</t>
  </si>
  <si>
    <t>Continuous</t>
  </si>
  <si>
    <t>Local Exhaust (62.2-2007):</t>
  </si>
  <si>
    <t>MAXIMUM CONTINUOUS LOCAL BASELINE EXHAUST:</t>
  </si>
  <si>
    <t>MAXIMUM INTERMITTENT LOCAL BASELINE EXHAUST:</t>
  </si>
  <si>
    <t>MINIMUM CONTINUOUS LOCAL BASELINE EXHAUST:</t>
  </si>
  <si>
    <t>MINIMUM INTERMITTENT LOCAL BASELINE EXHAUST:</t>
  </si>
  <si>
    <t>PROPOSED LOCAL EXHAUST VENTILATION:</t>
  </si>
  <si>
    <t>CFM is the minimum allowed in the baseline if both fans run continuously or both fans run intermittently.</t>
  </si>
  <si>
    <t>CFM is the maximum allowed in the baseline if both fans run continuously or both fans run intermittently.</t>
  </si>
  <si>
    <t>&lt;&lt; These values are determined once you have entered your proposed CFM.</t>
  </si>
  <si>
    <t>&lt;&lt; These values are updated once you have entered your average area.</t>
  </si>
  <si>
    <t>minutes/hour</t>
  </si>
  <si>
    <t>Convert Intermittent Ventilation to equivalent Continuous:</t>
  </si>
  <si>
    <t>Combine Different Ventilation to equivalent Continuous:</t>
  </si>
  <si>
    <t>Quantity of Fans</t>
  </si>
  <si>
    <t>CFM is the equivalent continuous ventilation rate.</t>
  </si>
  <si>
    <t>CFM is the equivalent continuous ventilation rate for all fans combined.</t>
  </si>
  <si>
    <t>Electricity, kWh</t>
  </si>
  <si>
    <t>Fossil Fuel, therms</t>
  </si>
  <si>
    <t>Utility Bill Comparison</t>
  </si>
  <si>
    <t># kitchens</t>
  </si>
  <si>
    <t># lavatories (that require exhaust)</t>
  </si>
  <si>
    <t>Total Square Footage</t>
  </si>
  <si>
    <t>If you need more rows, insert below this row &gt;&gt;</t>
  </si>
  <si>
    <t>Inline or Range Hood</t>
  </si>
  <si>
    <t xml:space="preserve">10.Red cells indicate ZONES where proposed lighting exceed ASHRAE LPD by more than 20%. </t>
  </si>
  <si>
    <t>Central DHW</t>
  </si>
  <si>
    <t>Volume</t>
  </si>
  <si>
    <t>In-Unit Water Heater</t>
  </si>
  <si>
    <t>HIR/EIR</t>
  </si>
  <si>
    <t>% EFF</t>
  </si>
  <si>
    <t>Sensors</t>
  </si>
  <si>
    <t>11.ZONES can exceed LPDs by more than 20%, but the TOTAL proposed wattage cannot exceed the TOTAL wattage in the baseline by more than 20%.</t>
  </si>
  <si>
    <t>EIR or 1/COP (COOLING)</t>
  </si>
  <si>
    <t>Cooling EER</t>
  </si>
  <si>
    <t>Net Heating Capacity, Btu/Hr</t>
  </si>
  <si>
    <t>Select calculation method:</t>
  </si>
  <si>
    <t>% Savings
toward Target</t>
  </si>
  <si>
    <t>% Savings
by end-use</t>
  </si>
  <si>
    <t>DHW System:</t>
  </si>
  <si>
    <t>Climate Zone:</t>
  </si>
  <si>
    <t>Simulation Program &amp; Version #:</t>
  </si>
  <si>
    <t>Ext. wall construction (above grade)</t>
  </si>
  <si>
    <t>Ext. wall construction (below grade)</t>
  </si>
  <si>
    <t>Floor construction</t>
  </si>
  <si>
    <t>Slab-on-grade construction (unheated)</t>
  </si>
  <si>
    <t>Slab-on-grade construction (embedded heat)</t>
  </si>
  <si>
    <t>Slab-below grade construction</t>
  </si>
  <si>
    <t>C-factor</t>
  </si>
  <si>
    <t>C-factor or R</t>
  </si>
  <si>
    <t>Window type and U-factor</t>
  </si>
  <si>
    <t>Window SHGC</t>
  </si>
  <si>
    <t>Doors</t>
  </si>
  <si>
    <t>%</t>
  </si>
  <si>
    <t>Lavatory Faucets</t>
  </si>
  <si>
    <t>Pumps and Aux</t>
  </si>
  <si>
    <t>Other exterior</t>
  </si>
  <si>
    <t>Clothes Washer</t>
  </si>
  <si>
    <t>Estimated Construction Completion Date (mo/yr):</t>
  </si>
  <si>
    <t>Corridor lighting power density</t>
  </si>
  <si>
    <t>0.5 W/SF</t>
  </si>
  <si>
    <t>%Et</t>
  </si>
  <si>
    <t>Primary System Heating efficiency</t>
  </si>
  <si>
    <t>Primary System Cooling efficiency</t>
  </si>
  <si>
    <r>
      <t>CFM/ft</t>
    </r>
    <r>
      <rPr>
        <vertAlign val="superscript"/>
        <sz val="9"/>
        <rFont val="Arial"/>
        <family val="2"/>
      </rPr>
      <t>2</t>
    </r>
  </si>
  <si>
    <t>ENERGY STAR?</t>
  </si>
  <si>
    <t>Proposed Fixture Description</t>
  </si>
  <si>
    <t>Footcandle Warning</t>
  </si>
  <si>
    <t>Common Space</t>
  </si>
  <si>
    <t>TOTAL</t>
  </si>
  <si>
    <t>ENERGY STAR</t>
  </si>
  <si>
    <t>Fixture Count</t>
  </si>
  <si>
    <t>&gt; 80%?</t>
  </si>
  <si>
    <t>General Location</t>
  </si>
  <si>
    <t>Space-By-Space (90.1-2007)</t>
  </si>
  <si>
    <t>Building Area (90.1-2007)</t>
  </si>
  <si>
    <t>Space-By-Space (90.1-2010)</t>
  </si>
  <si>
    <t>Building Area (90.1-2010)</t>
  </si>
  <si>
    <t>%Ec</t>
  </si>
  <si>
    <t>Corridor Outdoor Air Supply</t>
  </si>
  <si>
    <t>Total without Renewable</t>
  </si>
  <si>
    <t>Annual Renewable</t>
  </si>
  <si>
    <t>Total with Renewable</t>
  </si>
  <si>
    <t>Energy cost savings associated with on-site power generation, including cogeneration, photovoltaics, and wind turbines, may not be used to meet the Performance Target of 15%, but can be listed in Row 31.</t>
  </si>
  <si>
    <t>Unlit Chases/Shafts</t>
  </si>
  <si>
    <t>Title 24</t>
  </si>
  <si>
    <t>90.1-2007</t>
  </si>
  <si>
    <t>90.1-2010</t>
  </si>
  <si>
    <t>Weather File Location (City, ST):</t>
  </si>
  <si>
    <t>1A</t>
  </si>
  <si>
    <t>1B</t>
  </si>
  <si>
    <t>2A</t>
  </si>
  <si>
    <t>2B</t>
  </si>
  <si>
    <t>2C</t>
  </si>
  <si>
    <t>3A</t>
  </si>
  <si>
    <t>3B</t>
  </si>
  <si>
    <t>3C</t>
  </si>
  <si>
    <t>4A</t>
  </si>
  <si>
    <t>4B</t>
  </si>
  <si>
    <t>4C</t>
  </si>
  <si>
    <t>5A</t>
  </si>
  <si>
    <t>5B</t>
  </si>
  <si>
    <t>5C</t>
  </si>
  <si>
    <t>6A</t>
  </si>
  <si>
    <t>6B</t>
  </si>
  <si>
    <t>Whole Building</t>
  </si>
  <si>
    <t>Unit-by-Unit</t>
  </si>
  <si>
    <t>Mixed</t>
  </si>
  <si>
    <t>BASELINE LOCAL EXHAUST VENTILATION:</t>
  </si>
  <si>
    <t>Installed Lighting (W/sf)</t>
  </si>
  <si>
    <t>Apt Qty</t>
  </si>
  <si>
    <t>For Prescriptive Path projects using this tool, the TOTAL proposed wattage cannot exceed ASHRAE 90.1-2010 allowances at all.</t>
  </si>
  <si>
    <t>Lounge/Recreation</t>
  </si>
  <si>
    <t>Exercise Area</t>
  </si>
  <si>
    <t>Automatic Lighting Controls?</t>
  </si>
  <si>
    <t>A</t>
  </si>
  <si>
    <t>B</t>
  </si>
  <si>
    <t>RCR</t>
  </si>
  <si>
    <t>LLF</t>
  </si>
  <si>
    <t>CU at RCR=A</t>
  </si>
  <si>
    <t>CU at RCR=B</t>
  </si>
  <si>
    <t>CU at RCR=C</t>
  </si>
  <si>
    <t>LE</t>
  </si>
  <si>
    <t>FL: Direct/Indirect-Non-VDT</t>
  </si>
  <si>
    <t>FL: Linear WW Open 1 wall</t>
  </si>
  <si>
    <t xml:space="preserve">Light Source &amp; Distribution </t>
  </si>
  <si>
    <t>PAR: Downlight open - flood</t>
  </si>
  <si>
    <t>CF: Indirect Wall Sconce</t>
  </si>
  <si>
    <t>FL: Linear Wall Cove</t>
  </si>
  <si>
    <t>CF: Indirect Pendant</t>
  </si>
  <si>
    <t>CF: Downlight Open</t>
  </si>
  <si>
    <t>FL: Linear Direct lensed</t>
  </si>
  <si>
    <t>FL: Linear WW open - 2 walls</t>
  </si>
  <si>
    <t>FL:Task</t>
  </si>
  <si>
    <t>MH: Low Bay Lensed</t>
  </si>
  <si>
    <t>MH: Indirect Pendant</t>
  </si>
  <si>
    <t>INC: Indirect Pendant</t>
  </si>
  <si>
    <t>C</t>
  </si>
  <si>
    <t>FL: Fluorescent Industrial</t>
  </si>
  <si>
    <t>Base Min FC</t>
  </si>
  <si>
    <t>Space 2007</t>
  </si>
  <si>
    <t>Space 2010</t>
  </si>
  <si>
    <t>Community or Computer Room</t>
  </si>
  <si>
    <t>n/a</t>
  </si>
  <si>
    <t>Landscaping</t>
  </si>
  <si>
    <t>Exterior Lighting Allowances</t>
  </si>
  <si>
    <t>Table 9.4.5 of ASHRAE 90.1-2007</t>
  </si>
  <si>
    <t>Zone 2: ASHRAE 90.1-2010</t>
  </si>
  <si>
    <t>Zone 4: ASHRAE 90.1-2010</t>
  </si>
  <si>
    <t>Zone 3: ASHRAE 90.1-2010</t>
  </si>
  <si>
    <t>Lighting Power Density</t>
  </si>
  <si>
    <t>Total Exterior Building Allowance to be entered in Energy Models</t>
  </si>
  <si>
    <t>PROPOSED 
W/SF with Sensors</t>
  </si>
  <si>
    <t xml:space="preserve">TEFavg Calculated (IESNA) </t>
  </si>
  <si>
    <t>RCR 
A=1, B=4, C=7</t>
  </si>
  <si>
    <t>Proposed Footcandles</t>
  </si>
  <si>
    <t>IESNA Required Footcandles</t>
  </si>
  <si>
    <t>534-2</t>
  </si>
  <si>
    <t>537-1</t>
  </si>
  <si>
    <t>537-2</t>
  </si>
  <si>
    <t>559-1</t>
  </si>
  <si>
    <t>Default Lumens per Watt</t>
  </si>
  <si>
    <t>FL: Linear Indirect w/louver</t>
  </si>
  <si>
    <t>LED:</t>
  </si>
  <si>
    <t>Building 2007</t>
  </si>
  <si>
    <t>Building 2010</t>
  </si>
  <si>
    <t>IESNA fixture code</t>
  </si>
  <si>
    <t>PSI</t>
  </si>
  <si>
    <t xml:space="preserve">Showerheads </t>
  </si>
  <si>
    <t>Showerhead gpm</t>
  </si>
  <si>
    <t>Avg Faucet gpm</t>
  </si>
  <si>
    <t>Walkways 10 ft wide or greater/ Plaza areas/ Special feature areas</t>
  </si>
  <si>
    <t>Main entries (2)</t>
  </si>
  <si>
    <t>Entry canopies</t>
  </si>
  <si>
    <t>Uncovered parking areas and drives</t>
  </si>
  <si>
    <t>Stairways</t>
  </si>
  <si>
    <t>Standard and Zone</t>
  </si>
  <si>
    <t>Building Facades  (1)</t>
  </si>
  <si>
    <t>Total Gal/day (w/both DW &amp; CW)</t>
  </si>
  <si>
    <t>HW gallons/day/occupant</t>
  </si>
  <si>
    <t>Watts/
Fixture</t>
  </si>
  <si>
    <t>MUST BE ALPHABETICAL&gt;&gt;</t>
  </si>
  <si>
    <t>1. Fill in cells highlighted with this color, including the Watts/fixture and Light Source in Column K&amp;L.</t>
  </si>
  <si>
    <t>2. When available, provide manufacturer, model, location, and whether ENERGY STAR certified.</t>
  </si>
  <si>
    <t>3. List NON-APARTMENT rooms in the building that have specified lighting by FLOOR. For typical floors, indicate the floor multiplier in Column J.</t>
  </si>
  <si>
    <t>4. List square footages for all NON-APARTMENT spaces in Column B (do not assign square footages to rows for Exit Signs).</t>
  </si>
  <si>
    <t>5. Indicate how many fixtures of each type are in each room in Column F.</t>
  </si>
  <si>
    <t>6. Use drop down menu to indicate the ASHRAE space type for calculating Baseline LPD's.</t>
  </si>
  <si>
    <t>7. Rooms with more than one fixture type should be entered using multiple rows; square footage should be distributed between entries.</t>
  </si>
  <si>
    <t>Select Exterior Lighting "Standard and Zone" from drop down list, based on compliance with 90.1-2007 or 90.1-2010.</t>
  </si>
  <si>
    <t>Base Site Allowance</t>
  </si>
  <si>
    <t>Use the SAME order as the parametric runs copied in the Results from eQUEST worksheet.</t>
  </si>
  <si>
    <t>Enter each measure description. You may choose to also enter the corresponding baseline and proposed costs.</t>
  </si>
  <si>
    <t>(Optional)</t>
  </si>
  <si>
    <t>Lifetime
years</t>
  </si>
  <si>
    <t>If using other approved software, manually enter energy savings per measure in Column H and I by unprotecting the Worksheet.</t>
  </si>
  <si>
    <t>In the "Proposed Fixture" table, enter the flow rate and corresponding pressure (PSI) for each proposed fixture type.</t>
  </si>
  <si>
    <r>
      <t xml:space="preserve">Include all in-unit hard-wired lighting in this table. Rated wattage </t>
    </r>
    <r>
      <rPr>
        <b/>
        <sz val="10"/>
        <rFont val="Arial"/>
        <family val="2"/>
      </rPr>
      <t>MUST</t>
    </r>
    <r>
      <rPr>
        <sz val="10"/>
        <rFont val="Arial"/>
        <family val="2"/>
      </rPr>
      <t xml:space="preserve"> include ballast (follow 90.1 User's manual or Appendix B of </t>
    </r>
    <r>
      <rPr>
        <i/>
        <sz val="10"/>
        <rFont val="Arial"/>
        <family val="2"/>
      </rPr>
      <t>Performance Path</t>
    </r>
    <r>
      <rPr>
        <sz val="10"/>
        <rFont val="Arial"/>
        <family val="2"/>
      </rPr>
      <t>).</t>
    </r>
  </si>
  <si>
    <t>(2) Enter total linear foot of door width for main entrance doors, other doors, and doors leading to balconies.</t>
  </si>
  <si>
    <t>Ventilation Duct Leakage (Baseline add 10 CFM/register)</t>
  </si>
  <si>
    <t>SEER to EER</t>
  </si>
  <si>
    <t>All Single Package Equipment</t>
  </si>
  <si>
    <t>Efficiency Conversion Calculator</t>
  </si>
  <si>
    <t>Illumination (footcandles)</t>
  </si>
  <si>
    <t>TEF</t>
  </si>
  <si>
    <t>Energy Savings (Optional)</t>
  </si>
  <si>
    <t>Basic Info Worksheet</t>
  </si>
  <si>
    <t>Window to Floor Area ratio replaced with Window to Wall Area ratio. Comment added that appears only if common area lighting exceed prerequisite (20% over ASHRAE). Add % savings by end-use that contributes to total % savings.</t>
  </si>
  <si>
    <t>Square footage calculation was corrected and lighting was converted to W/sf.</t>
  </si>
  <si>
    <t>Corrected calculations.</t>
  </si>
  <si>
    <t>LEED-H MR Form</t>
  </si>
  <si>
    <t>Calculations added for storage water heaters; comment added that GPM flowrates entered must be the GPM rated at 80 psi.</t>
  </si>
  <si>
    <t>Column added to sum square footage when using multipliers and note provided to caution users to only insert rows at the end of tables. Column for "24/7?" expanded to document "sensors". Food prep and family dining areas removed from ASHRAE space type drop-down. If these areas exist in common spaces, use "Multipurpose". Drop-down added to indicate Space-by-Space or Building Area method.</t>
  </si>
  <si>
    <t>Interior Lighting Worksheet</t>
  </si>
  <si>
    <t>Range hood included as an option in the drop-down menu for Exhaust Fan type; Rooftop expanded to include "other".</t>
  </si>
  <si>
    <t>Infiltration/Ventilation Worksheet</t>
  </si>
  <si>
    <t>EIR for PTAC and PTHP</t>
  </si>
  <si>
    <t>PTHP section expanded to include heating COP/EIR.</t>
  </si>
  <si>
    <t>Added two ASHRAE space types (Lounge/Recreation and Exercise Area).</t>
  </si>
  <si>
    <t>Removed.</t>
  </si>
  <si>
    <t>Minor updates.</t>
  </si>
  <si>
    <t>Water Savings Worksheet</t>
  </si>
  <si>
    <t>Updated calculation for number of occupants, which will increase the demand and savings from low-flow fixtures.</t>
  </si>
  <si>
    <t>In-Unit Lighting Worksheet</t>
  </si>
  <si>
    <t>Updated to allow users to assume a greater square footage illuminated by hard-wired fixtures.</t>
  </si>
  <si>
    <t>Updated to allow Prescriptive Path users to compare to 90.1-2010 and to calculate 80% ENERGY STAR fixtures. Also, added two ASHRAE space types (Lounge/Recreation and Exercise Area) and provided the reduced W/sf for spaces if using automatic controls. Simulation Guidelines will be corrected to allow 10% credit in non-apartment spaces except conference/meeting rooms.</t>
  </si>
  <si>
    <t>Updated calculations.</t>
  </si>
  <si>
    <t xml:space="preserve">Incorporated Low/Medium/High Usage into the proposed and baseline water usage. Incorporated PSI for fixture types in baseline and proposed fixtures. </t>
  </si>
  <si>
    <t xml:space="preserve">Incorporated PSI into avg faucet gpm. Based baseline &amp; proposed avg faucet gpm and showerhead gpm on PSI for fixture types.  </t>
  </si>
  <si>
    <t>Updated footcandle calculations to be based on light source &amp; distribution. Incorporated room type into this equation. Updated foot candle warning. Added ASHRAE space types.  Updated proposed w/sf to account for sensors.</t>
  </si>
  <si>
    <t xml:space="preserve">Added ASHRAE 90.1-2010 Zones 2-3 into the table. Added warning for proposed building façade lighting exceeding baseline. Added Base site allowance dropdown to add into tradable or non-tradable equations. </t>
  </si>
  <si>
    <t>Added Efficiency Conversion Calculator (SEER to EER; HSPF to COP)</t>
  </si>
  <si>
    <t xml:space="preserve">Added lookup for illumination. It is based on the Interior Lighting worksheet. </t>
  </si>
  <si>
    <t>Common space lighting power density</t>
  </si>
  <si>
    <t>Primary HVAC system type (App. G Table G3.1.1A)</t>
  </si>
  <si>
    <t>eQUEST Equipment #</t>
  </si>
  <si>
    <t>&lt;Please use this space to describe features/systems of the building as needed&gt;</t>
  </si>
  <si>
    <t>kW OR kW/CFM</t>
  </si>
  <si>
    <t>0.0003 kW/CFM</t>
  </si>
  <si>
    <t>EF or %</t>
  </si>
  <si>
    <t>GPM @ psi</t>
  </si>
  <si>
    <t>HSPF to COP at AHRI condition</t>
  </si>
  <si>
    <t>Split Systems &lt; 65,000 BTUH</t>
  </si>
  <si>
    <t>All other Split Systems</t>
  </si>
  <si>
    <t>COP (HEATING) at AHRI conditions</t>
  </si>
  <si>
    <t>COP (HEATING) without fan power</t>
  </si>
  <si>
    <t>EIR or 1/COP (HEATING) w/o fan power</t>
  </si>
  <si>
    <t>Assumed Infiltration Rate in model, ACH</t>
  </si>
  <si>
    <t>Average Combined Hourly Ventilation Rate, ACH</t>
  </si>
  <si>
    <t>Average Combined Hourly Ventilation Rate, CFM/SF</t>
  </si>
  <si>
    <t>In the simulation software, model Outside Air and Exhaust for Apartments separately from "Infiltration".</t>
  </si>
  <si>
    <t>Model Exhaust for refuse rooms and laundry rooms separate from "Infiltration" as well.</t>
  </si>
  <si>
    <t>Version 1.1 Summary of Changes (Released 2/22/2012)</t>
  </si>
  <si>
    <t>Version 1.2 Summary of Changes (Released 1/24/2013)</t>
  </si>
  <si>
    <t>Version 1.3 Summary of Changes (Released 10/30/2013)</t>
  </si>
  <si>
    <t>In eQUEST, exterior lighting should be entered in the "Utility &amp; Economics" section, under Electric Meter as a Direct Exterior Load, with Exterior enduse and a 12 hr/day schedule.</t>
  </si>
  <si>
    <t>Version 1.4</t>
  </si>
  <si>
    <t>Apartment balcony lighting should be evaluated as Tradable Surfaces "Other Doors", and modeled using the 2.34 hr/day schedule. In eQUEST, assign to "Exterior" end use.</t>
  </si>
  <si>
    <t>Exterior lighting (apartment balconies)</t>
  </si>
  <si>
    <t xml:space="preserve">Other doors (2) </t>
  </si>
  <si>
    <t xml:space="preserve">Apartment Balcony Doors (2) </t>
  </si>
  <si>
    <t>Exterior lighting (Total)</t>
  </si>
  <si>
    <t>Added instructional comment to remind users to add ballast power to "Watts/Fixture" entry in schedule</t>
  </si>
  <si>
    <t>Revised instruction #4 &amp; #6 to assign exterior lighting to the "exterior" end-use category. Separated apartment balcony lighting to facilitate reporting.</t>
  </si>
  <si>
    <t>2.5 @ 80 psi; 2.2 @ 60 psi</t>
  </si>
  <si>
    <t>@</t>
  </si>
  <si>
    <t>psi</t>
  </si>
  <si>
    <t>Select Path:</t>
  </si>
  <si>
    <t>Performance</t>
  </si>
  <si>
    <t>Prescriptive</t>
  </si>
  <si>
    <t>Project Street Address:</t>
  </si>
  <si>
    <t>Project Zip Code:</t>
  </si>
  <si>
    <t>Number of Laundry Hookups in All Units</t>
  </si>
  <si>
    <t>Number of Laundry Hookups in Common Area (s)</t>
  </si>
  <si>
    <t>Number of Residential Living Units (must exceed 20 per "property")</t>
  </si>
  <si>
    <t xml:space="preserve">Number of Bedrooms </t>
  </si>
  <si>
    <t>Number of Stories (1-4 "Low-rise": 5-9 "Mid-rise": 10+ "High-rise")</t>
  </si>
  <si>
    <t>Estimated Total Annual Energy Use, kWh (thousand Watt-hours)</t>
  </si>
  <si>
    <t>Estimated Total Annual Energy Use, MBtu (million Btu)</t>
  </si>
  <si>
    <t>Gross Floor Area (Select "Multifamily Housing" as Primary Function)</t>
  </si>
  <si>
    <t>ENERGY STAR Multifamily High Rise
Reporting Summary, Version 1.4</t>
  </si>
  <si>
    <t>CA Title 24-2013</t>
  </si>
  <si>
    <t>T24-2013</t>
  </si>
  <si>
    <t>Likewise, for some rooms, the areas for which lighting is specified may be LESS than the total area of the room. If the specified fixtures are intended to light only a portion of the room, enter the square feet of the lit area only, per your own estimation, but not to exceed 3 ft2 per Watt. (Ex. A 13 W CFL in a bedroom can light at most 39 ft2 and should not be modeled as lighting the entire space, unless footcandles exceed 10.)</t>
  </si>
  <si>
    <t>Room Lighting Power Density, W/SF</t>
  </si>
  <si>
    <t>Weighted Average of installed footcandles must exceed 10</t>
  </si>
  <si>
    <t>Modified error check to check for appropriate calculations of lit area and to calculate average footcandles and room-by-room lighting power densities.</t>
  </si>
  <si>
    <t>Added error check to compare conversions from Table 6 to Table 8. Modified inputs to facilitate use of ENERGY STAR Portfolio Manager Target Finder for Multifamily Housing.</t>
  </si>
  <si>
    <t>Savings over Baseline, kWh/yr
(w/o sensors)</t>
  </si>
  <si>
    <t xml:space="preserve">Instructions (this sheet is optional): </t>
  </si>
  <si>
    <t>Corrected Exterior lighting formula in cell E63 and modified equations in Table 6 to align with correction below to Exterior Lighting.</t>
  </si>
  <si>
    <t>Apartment Bathroom Local Exhaust Ventilation</t>
  </si>
  <si>
    <t>Apartment Kitchen Local Exhaust Ventilation</t>
  </si>
  <si>
    <t>Intermittent/cont</t>
  </si>
  <si>
    <t>Apartment Whole-House Ventilation System</t>
  </si>
  <si>
    <t>Type, CFM &amp; Watt</t>
  </si>
  <si>
    <t>Rooftop</t>
  </si>
  <si>
    <t>Project City, State, County:</t>
  </si>
  <si>
    <t>Added "County" to Table 1 to facilitate confirmation of Climate Zone.</t>
  </si>
  <si>
    <t>Version 1.4 Summary of Changes (Released 12/1/2014)</t>
  </si>
  <si>
    <t>Cells highlighted in red indicate spaces where estimated lumen output of fixture does not provide minimum illumination (10fc) recommended for general living areas. If proceeding with this design, ENERGY STAR prerequisite can be met if measured values meet 10 fc during the As-Built inspections.</t>
  </si>
  <si>
    <t xml:space="preserve">Table 4. ENERGY STAR Portfolio Manager Input </t>
  </si>
  <si>
    <t>Controls required in community rooms and computer rooms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</si>
</sst>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0.0"/>
    <numFmt numFmtId="168" formatCode="0.000"/>
    <numFmt numFmtId="169" formatCode="&quot;$&quot;#,##0"/>
    <numFmt numFmtId="170" formatCode="_(* #,##0_);_(* \(#,##0\);_(* &quot;-&quot;??_);_(@_)"/>
    <numFmt numFmtId="171" formatCode="_(* #,##0.0_);_(* \(#,##0.0\);_(* &quot;-&quot;??_);_(@_)"/>
    <numFmt numFmtId="172" formatCode="_(* #,##0.000_);_(* \(#,##0.000\);_(* &quot;-&quot;??_);_(@_)"/>
    <numFmt numFmtId="173" formatCode="_(* #,##0.0000_);_(* \(#,##0.0000\);_(* &quot;-&quot;??_);_(@_)"/>
    <numFmt numFmtId="174" formatCode="_(* #,##0.000_);_(* \(#,##0.000\);_(* &quot;-&quot;???_);_(@_)"/>
    <numFmt numFmtId="175" formatCode="m/d/yy;@"/>
    <numFmt numFmtId="176" formatCode="[$-409]mmmm\-yy;@"/>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409]h:mm:ss\ AM/PM"/>
    <numFmt numFmtId="186" formatCode="0.00000000"/>
    <numFmt numFmtId="187" formatCode="0.0000000"/>
    <numFmt numFmtId="188" formatCode="_(* #,##0.0000_);_(* \(#,##0.0000\);_(* &quot;-&quot;????_);_(@_)"/>
    <numFmt numFmtId="189" formatCode="[$-409]mmmm\ d\,\ yyyy;@"/>
    <numFmt numFmtId="190" formatCode="&quot;$&quot;#,##0.0_);\(&quot;$&quot;#,##0.0\)"/>
    <numFmt numFmtId="191" formatCode="&quot;$&quot;#,##0.000_);\(&quot;$&quot;#,##0.000\)"/>
    <numFmt numFmtId="192" formatCode="&quot;$&quot;#,##0.0000_);\(&quot;$&quot;#,##0.0000\)"/>
  </numFmts>
  <fonts count="77">
    <font>
      <sz val="10"/>
      <name val="Arial"/>
      <family val="0"/>
    </font>
    <font>
      <sz val="11"/>
      <color indexed="8"/>
      <name val="Calibri"/>
      <family val="2"/>
    </font>
    <font>
      <sz val="10"/>
      <name val="Times New Roman"/>
      <family val="1"/>
    </font>
    <font>
      <sz val="12"/>
      <name val="Times New Roman"/>
      <family val="1"/>
    </font>
    <font>
      <b/>
      <sz val="12"/>
      <name val="Times New Roman"/>
      <family val="1"/>
    </font>
    <font>
      <sz val="8"/>
      <name val="Arial"/>
      <family val="2"/>
    </font>
    <font>
      <sz val="10"/>
      <color indexed="10"/>
      <name val="Times New Roman"/>
      <family val="1"/>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2"/>
      <name val="Arial"/>
      <family val="2"/>
    </font>
    <font>
      <b/>
      <sz val="14"/>
      <name val="Arial"/>
      <family val="2"/>
    </font>
    <font>
      <b/>
      <sz val="10"/>
      <name val="Arial"/>
      <family val="2"/>
    </font>
    <font>
      <b/>
      <i/>
      <sz val="10"/>
      <name val="Arial"/>
      <family val="2"/>
    </font>
    <font>
      <i/>
      <sz val="10"/>
      <name val="Arial"/>
      <family val="2"/>
    </font>
    <font>
      <b/>
      <i/>
      <u val="single"/>
      <sz val="10"/>
      <name val="Arial"/>
      <family val="2"/>
    </font>
    <font>
      <b/>
      <sz val="12"/>
      <name val="Arial"/>
      <family val="2"/>
    </font>
    <font>
      <b/>
      <sz val="10"/>
      <color indexed="10"/>
      <name val="Arial"/>
      <family val="2"/>
    </font>
    <font>
      <i/>
      <u val="single"/>
      <sz val="10"/>
      <name val="Arial"/>
      <family val="2"/>
    </font>
    <font>
      <b/>
      <i/>
      <u val="single"/>
      <sz val="12"/>
      <name val="Arial"/>
      <family val="2"/>
    </font>
    <font>
      <b/>
      <u val="single"/>
      <sz val="10"/>
      <name val="Arial"/>
      <family val="2"/>
    </font>
    <font>
      <sz val="10"/>
      <color indexed="22"/>
      <name val="Arial"/>
      <family val="2"/>
    </font>
    <font>
      <sz val="9"/>
      <name val="Arial"/>
      <family val="2"/>
    </font>
    <font>
      <sz val="11"/>
      <color indexed="9"/>
      <name val="Calibri"/>
      <family val="2"/>
    </font>
    <font>
      <b/>
      <sz val="11"/>
      <color indexed="8"/>
      <name val="Calibri"/>
      <family val="2"/>
    </font>
    <font>
      <sz val="11"/>
      <color indexed="10"/>
      <name val="Calibri"/>
      <family val="2"/>
    </font>
    <font>
      <sz val="12"/>
      <color indexed="8"/>
      <name val="Times New Roman"/>
      <family val="1"/>
    </font>
    <font>
      <b/>
      <sz val="11"/>
      <color indexed="8"/>
      <name val="Times New Roman"/>
      <family val="1"/>
    </font>
    <font>
      <sz val="11"/>
      <color indexed="8"/>
      <name val="Times New Roman"/>
      <family val="1"/>
    </font>
    <font>
      <b/>
      <u val="single"/>
      <sz val="11"/>
      <color indexed="8"/>
      <name val="Calibri"/>
      <family val="2"/>
    </font>
    <font>
      <b/>
      <sz val="11"/>
      <name val="Times New Roman"/>
      <family val="1"/>
    </font>
    <font>
      <b/>
      <sz val="10"/>
      <color indexed="22"/>
      <name val="Arial"/>
      <family val="2"/>
    </font>
    <font>
      <b/>
      <sz val="16"/>
      <name val="Times New Roman"/>
      <family val="1"/>
    </font>
    <font>
      <b/>
      <sz val="10"/>
      <name val="Times New Roman"/>
      <family val="1"/>
    </font>
    <font>
      <vertAlign val="superscript"/>
      <sz val="10"/>
      <name val="Arial"/>
      <family val="2"/>
    </font>
    <font>
      <vertAlign val="superscript"/>
      <sz val="9"/>
      <name val="Arial"/>
      <family val="2"/>
    </font>
    <font>
      <sz val="11"/>
      <color indexed="8"/>
      <name val="Arial"/>
      <family val="2"/>
    </font>
    <font>
      <sz val="9"/>
      <color indexed="8"/>
      <name val="Arial"/>
      <family val="2"/>
    </font>
    <font>
      <sz val="10"/>
      <color indexed="8"/>
      <name val="Calibri"/>
      <family val="2"/>
    </font>
    <font>
      <b/>
      <sz val="16"/>
      <name val="Arial"/>
      <family val="2"/>
    </font>
    <font>
      <b/>
      <i/>
      <sz val="12"/>
      <name val="Arial"/>
      <family val="2"/>
    </font>
    <font>
      <b/>
      <i/>
      <sz val="11"/>
      <name val="Arial"/>
      <family val="2"/>
    </font>
    <font>
      <b/>
      <sz val="12"/>
      <color indexed="9"/>
      <name val="Arial"/>
      <family val="2"/>
    </font>
    <font>
      <b/>
      <sz val="12"/>
      <color indexed="10"/>
      <name val="Times New Roman"/>
      <family val="1"/>
    </font>
    <font>
      <b/>
      <u val="single"/>
      <sz val="16"/>
      <name val="Times New Roman"/>
      <family val="1"/>
    </font>
    <font>
      <u val="single"/>
      <sz val="12"/>
      <name val="Times New Roman"/>
      <family val="1"/>
    </font>
    <font>
      <sz val="12"/>
      <color indexed="10"/>
      <name val="Times New Roman"/>
      <family val="1"/>
    </font>
    <font>
      <u val="single"/>
      <sz val="10"/>
      <name val="Arial"/>
      <family val="2"/>
    </font>
    <font>
      <sz val="9"/>
      <name val="Tahoma"/>
      <family val="2"/>
    </font>
    <font>
      <b/>
      <sz val="9"/>
      <name val="Tahoma"/>
      <family val="2"/>
    </font>
    <font>
      <sz val="11"/>
      <name val="Calibri"/>
      <family val="2"/>
    </font>
    <font>
      <sz val="8"/>
      <name val="Tahoma"/>
      <family val="2"/>
    </font>
    <font>
      <b/>
      <sz val="8"/>
      <name val="Tahoma"/>
      <family val="2"/>
    </font>
    <font>
      <u val="single"/>
      <sz val="10"/>
      <color indexed="20"/>
      <name val="Arial"/>
      <family val="2"/>
    </font>
    <font>
      <i/>
      <u val="single"/>
      <sz val="10"/>
      <color indexed="17"/>
      <name val="Arial"/>
      <family val="2"/>
    </font>
    <font>
      <sz val="8"/>
      <name val="Segoe UI"/>
      <family val="2"/>
    </font>
    <font>
      <u val="single"/>
      <sz val="10"/>
      <color theme="11"/>
      <name val="Arial"/>
      <family val="2"/>
    </font>
    <font>
      <sz val="10"/>
      <color rgb="FFFF0000"/>
      <name val="Arial"/>
      <family val="2"/>
    </font>
    <font>
      <i/>
      <u val="single"/>
      <sz val="10"/>
      <color rgb="FF00B050"/>
      <name val="Arial"/>
      <family val="2"/>
    </font>
    <font>
      <sz val="10"/>
      <color rgb="FF00B050"/>
      <name val="Arial"/>
      <family val="2"/>
    </font>
    <font>
      <sz val="10"/>
      <color theme="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darkDown">
        <bgColor indexed="22"/>
      </patternFill>
    </fill>
    <fill>
      <patternFill patternType="solid">
        <fgColor rgb="FFFF0000"/>
        <bgColor indexed="64"/>
      </patternFill>
    </fill>
    <fill>
      <patternFill patternType="solid">
        <fgColor rgb="FFFFFF99"/>
        <bgColor indexed="64"/>
      </patternFill>
    </fill>
    <fill>
      <patternFill patternType="solid">
        <fgColor rgb="FFFFCC99"/>
        <bgColor indexed="64"/>
      </patternFill>
    </fill>
    <fill>
      <patternFill patternType="solid">
        <fgColor theme="0" tint="-0.1499900072813034"/>
        <bgColor indexed="64"/>
      </patternFill>
    </fill>
    <fill>
      <patternFill patternType="solid">
        <fgColor rgb="FFCCFFFF"/>
        <bgColor indexed="64"/>
      </patternFill>
    </fill>
    <fill>
      <patternFill patternType="solid">
        <fgColor indexed="48"/>
        <bgColor indexed="64"/>
      </patternFill>
    </fill>
  </fills>
  <borders count="1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medium">
        <color indexed="8"/>
      </left>
      <right style="medium"/>
      <top style="medium">
        <color indexed="8"/>
      </top>
      <bottom style="medium">
        <color indexed="8"/>
      </bottom>
    </border>
    <border>
      <left/>
      <right style="thin"/>
      <top/>
      <bottom/>
    </border>
    <border>
      <left style="medium"/>
      <right style="medium"/>
      <top style="medium"/>
      <bottom style="medium"/>
    </border>
    <border>
      <left style="thick"/>
      <right/>
      <top/>
      <bottom/>
    </border>
    <border>
      <left/>
      <right/>
      <top style="thin"/>
      <bottom style="medium"/>
    </border>
    <border>
      <left/>
      <right style="medium"/>
      <top/>
      <bottom/>
    </border>
    <border>
      <left style="thick"/>
      <right/>
      <top style="medium"/>
      <bottom style="medium"/>
    </border>
    <border>
      <left/>
      <right/>
      <top style="medium"/>
      <bottom style="medium"/>
    </border>
    <border>
      <left/>
      <right style="medium"/>
      <top style="medium"/>
      <bottom style="medium"/>
    </border>
    <border>
      <left style="medium"/>
      <right/>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style="medium"/>
      <top style="medium"/>
      <bottom/>
    </border>
    <border>
      <left style="thin"/>
      <right style="medium"/>
      <top style="medium"/>
      <bottom/>
    </border>
    <border>
      <left style="thin"/>
      <right style="medium"/>
      <top/>
      <bottom/>
    </border>
    <border>
      <left style="thin"/>
      <right style="thin"/>
      <top style="medium"/>
      <bottom style="thin"/>
    </border>
    <border>
      <left style="thin"/>
      <right style="thin"/>
      <top/>
      <bottom/>
    </border>
    <border>
      <left style="thin"/>
      <right/>
      <top/>
      <bottom/>
    </border>
    <border>
      <left style="thin"/>
      <right style="thin"/>
      <top/>
      <bottom style="thin"/>
    </border>
    <border>
      <left style="thin"/>
      <right style="thin"/>
      <top style="thin"/>
      <bottom/>
    </border>
    <border>
      <left style="medium"/>
      <right/>
      <top/>
      <bottom/>
    </border>
    <border>
      <left style="thin"/>
      <right style="thin"/>
      <top/>
      <bottom style="medium"/>
    </border>
    <border>
      <left style="medium"/>
      <right/>
      <top style="medium"/>
      <bottom style="thin"/>
    </border>
    <border>
      <left/>
      <right style="thin"/>
      <top style="medium"/>
      <bottom style="thin"/>
    </border>
    <border>
      <left/>
      <right style="thin"/>
      <top/>
      <bottom style="thin"/>
    </border>
    <border>
      <left/>
      <right/>
      <top style="medium"/>
      <bottom/>
    </border>
    <border>
      <left style="medium"/>
      <right style="thin"/>
      <top style="medium"/>
      <bottom style="medium"/>
    </border>
    <border>
      <left style="medium"/>
      <right/>
      <top style="medium"/>
      <bottom/>
    </border>
    <border>
      <left style="medium"/>
      <right style="medium"/>
      <top/>
      <bottom style="medium"/>
    </border>
    <border>
      <left style="thin">
        <color indexed="8"/>
      </left>
      <right/>
      <top style="medium"/>
      <bottom style="thin"/>
    </border>
    <border>
      <left/>
      <right/>
      <top style="medium"/>
      <bottom style="thin"/>
    </border>
    <border>
      <left style="medium"/>
      <right style="thin">
        <color indexed="8"/>
      </right>
      <top style="thin"/>
      <bottom/>
    </border>
    <border>
      <left style="thin">
        <color indexed="8"/>
      </left>
      <right style="thin">
        <color indexed="8"/>
      </right>
      <top style="thin"/>
      <bottom/>
    </border>
    <border>
      <left style="thin">
        <color indexed="8"/>
      </left>
      <right style="medium"/>
      <top style="thin">
        <color indexed="8"/>
      </top>
      <bottom/>
    </border>
    <border>
      <left/>
      <right style="thin"/>
      <top style="thin"/>
      <bottom/>
    </border>
    <border>
      <left style="thin"/>
      <right/>
      <top/>
      <bottom style="thin"/>
    </border>
    <border>
      <left style="medium"/>
      <right/>
      <top/>
      <bottom style="double"/>
    </border>
    <border>
      <left style="thin">
        <color indexed="8"/>
      </left>
      <right/>
      <top/>
      <bottom style="double"/>
    </border>
    <border>
      <left style="thin">
        <color indexed="8"/>
      </left>
      <right style="thin">
        <color indexed="8"/>
      </right>
      <top/>
      <bottom style="double"/>
    </border>
    <border>
      <left style="thin">
        <color indexed="8"/>
      </left>
      <right style="medium"/>
      <top/>
      <bottom style="double">
        <color indexed="8"/>
      </bottom>
    </border>
    <border>
      <left/>
      <right/>
      <top/>
      <bottom style="double"/>
    </border>
    <border>
      <left/>
      <right style="thin">
        <color indexed="8"/>
      </right>
      <top/>
      <bottom style="double"/>
    </border>
    <border>
      <left/>
      <right style="thin"/>
      <top/>
      <bottom style="double"/>
    </border>
    <border>
      <left/>
      <right/>
      <top style="thin"/>
      <bottom style="double"/>
    </border>
    <border>
      <left style="medium"/>
      <right style="thin"/>
      <top/>
      <bottom style="thin">
        <color indexed="8"/>
      </bottom>
    </border>
    <border>
      <left style="thin">
        <color indexed="8"/>
      </left>
      <right style="thin"/>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double"/>
      <bottom/>
    </border>
    <border>
      <left style="thin">
        <color indexed="8"/>
      </left>
      <right style="thin"/>
      <top style="thin"/>
      <bottom/>
    </border>
    <border>
      <left style="thin">
        <color indexed="8"/>
      </left>
      <right style="thin"/>
      <top style="thin"/>
      <bottom style="thin"/>
    </border>
    <border>
      <left/>
      <right style="thin"/>
      <top/>
      <bottom style="thin">
        <color indexed="8"/>
      </bottom>
    </border>
    <border>
      <left style="thin"/>
      <right style="thin"/>
      <top style="thin"/>
      <bottom style="double"/>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thin"/>
      <top style="thin"/>
      <bottom style="double"/>
    </border>
    <border>
      <left style="medium"/>
      <right/>
      <top style="double"/>
      <bottom style="double"/>
    </border>
    <border>
      <left/>
      <right/>
      <top style="double"/>
      <bottom style="double"/>
    </border>
    <border>
      <left style="thin"/>
      <right style="thin"/>
      <top style="double"/>
      <bottom style="double"/>
    </border>
    <border>
      <left style="medium"/>
      <right style="medium"/>
      <top style="double"/>
      <bottom/>
    </border>
    <border>
      <left style="medium"/>
      <right style="medium"/>
      <top style="thin"/>
      <bottom style="thin"/>
    </border>
    <border>
      <left/>
      <right style="medium"/>
      <top style="thin"/>
      <bottom style="thin"/>
    </border>
    <border>
      <left/>
      <right/>
      <top style="thin"/>
      <bottom style="thin"/>
    </border>
    <border>
      <left/>
      <right style="medium"/>
      <top style="medium"/>
      <bottom style="thin"/>
    </border>
    <border>
      <left/>
      <right style="thin"/>
      <top style="medium"/>
      <bottom/>
    </border>
    <border>
      <left style="thin"/>
      <right/>
      <top style="medium"/>
      <bottom style="thin"/>
    </border>
    <border>
      <left style="thin"/>
      <right/>
      <top style="thin"/>
      <bottom/>
    </border>
    <border>
      <left style="thin"/>
      <right/>
      <top/>
      <bottom style="medium"/>
    </border>
    <border>
      <left style="thin"/>
      <right style="medium"/>
      <top style="thin"/>
      <bottom/>
    </border>
    <border>
      <left style="thin"/>
      <right style="medium"/>
      <top/>
      <bottom style="medium"/>
    </border>
    <border>
      <left style="thin"/>
      <right/>
      <top style="thin"/>
      <bottom style="thin"/>
    </border>
    <border>
      <left/>
      <right/>
      <top/>
      <bottom style="thin"/>
    </border>
    <border>
      <left/>
      <right style="thin"/>
      <top style="thin"/>
      <bottom style="thin"/>
    </border>
    <border>
      <left/>
      <right/>
      <top style="thin"/>
      <bottom/>
    </border>
    <border>
      <left style="medium"/>
      <right style="thin"/>
      <top style="medium"/>
      <bottom/>
    </border>
    <border>
      <left style="thin"/>
      <right/>
      <top style="medium"/>
      <bottom style="medium"/>
    </border>
    <border>
      <left/>
      <right style="medium"/>
      <top style="thin"/>
      <bottom/>
    </border>
    <border>
      <left style="medium"/>
      <right style="thin">
        <color indexed="8"/>
      </right>
      <top style="medium"/>
      <bottom style="thin">
        <color indexed="8"/>
      </bottom>
    </border>
    <border>
      <left style="thin">
        <color indexed="8"/>
      </left>
      <right style="medium"/>
      <top style="medium"/>
      <bottom/>
    </border>
    <border>
      <left style="medium"/>
      <right style="medium"/>
      <top style="medium">
        <color indexed="8"/>
      </top>
      <bottom style="medium">
        <color indexed="8"/>
      </bottom>
    </border>
    <border>
      <left/>
      <right style="thin"/>
      <top/>
      <bottom style="medium"/>
    </border>
    <border>
      <left style="medium"/>
      <right style="thin"/>
      <top>
        <color indexed="63"/>
      </top>
      <bottom style="double"/>
    </border>
    <border>
      <left style="thin"/>
      <right style="thin"/>
      <top/>
      <bottom style="double"/>
    </border>
    <border>
      <left style="thin"/>
      <right style="medium"/>
      <top/>
      <bottom style="double"/>
    </border>
    <border>
      <left style="medium"/>
      <right style="thin"/>
      <top style="thin"/>
      <bottom style="double"/>
    </border>
    <border>
      <left style="thin"/>
      <right style="medium"/>
      <top style="thin"/>
      <bottom style="double"/>
    </border>
    <border>
      <left style="medium"/>
      <right/>
      <top/>
      <bottom style="thin"/>
    </border>
    <border>
      <left/>
      <right style="thin"/>
      <top style="medium"/>
      <bottom style="medium"/>
    </border>
    <border>
      <left/>
      <right style="medium"/>
      <top/>
      <bottom style="thin"/>
    </border>
    <border>
      <left/>
      <right style="medium"/>
      <top style="thin">
        <color indexed="8"/>
      </top>
      <bottom/>
    </border>
    <border>
      <left style="medium"/>
      <right/>
      <top style="thin"/>
      <bottom/>
    </border>
    <border>
      <left style="medium"/>
      <right style="medium"/>
      <top style="thin"/>
      <bottom style="medium"/>
    </border>
    <border>
      <left style="medium"/>
      <right style="medium"/>
      <top/>
      <bottom/>
    </border>
    <border>
      <left style="thin">
        <color indexed="8"/>
      </left>
      <right style="medium"/>
      <top/>
      <bottom style="thin">
        <color indexed="8"/>
      </bottom>
    </border>
    <border>
      <left style="thin">
        <color indexed="8"/>
      </left>
      <right style="thin">
        <color indexed="8"/>
      </right>
      <top/>
      <bottom/>
    </border>
    <border>
      <left style="medium"/>
      <right style="medium"/>
      <top style="medium"/>
      <bottom style="thin"/>
    </border>
    <border>
      <left style="medium"/>
      <right/>
      <top style="thin"/>
      <bottom style="thin"/>
    </border>
    <border>
      <left style="thick"/>
      <right/>
      <top style="thick"/>
      <bottom/>
    </border>
    <border>
      <left/>
      <right/>
      <top style="thick"/>
      <bottom/>
    </border>
    <border>
      <left/>
      <right style="medium"/>
      <top style="thick"/>
      <bottom/>
    </border>
    <border>
      <left style="thick"/>
      <right/>
      <top/>
      <bottom style="thin"/>
    </border>
    <border>
      <left/>
      <right style="thin">
        <color indexed="8"/>
      </right>
      <top style="thin"/>
      <bottom/>
    </border>
    <border>
      <left style="thin"/>
      <right style="thin"/>
      <top style="medium"/>
      <bottom/>
    </border>
    <border>
      <left style="thin"/>
      <right/>
      <top style="medium"/>
      <bottom/>
    </border>
    <border>
      <left style="medium"/>
      <right style="thin"/>
      <top/>
      <bottom style="medium"/>
    </border>
    <border>
      <left style="thin"/>
      <right style="medium"/>
      <top style="medium"/>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7" fillId="0" borderId="0" applyNumberFormat="0" applyFill="0" applyBorder="0" applyAlignment="0" applyProtection="0"/>
  </cellStyleXfs>
  <cellXfs count="1390">
    <xf numFmtId="0" fontId="0" fillId="0" borderId="0" xfId="0" applyAlignment="1">
      <alignment/>
    </xf>
    <xf numFmtId="0" fontId="1" fillId="0" borderId="0" xfId="69">
      <alignment/>
      <protection/>
    </xf>
    <xf numFmtId="0" fontId="39" fillId="22" borderId="10" xfId="69" applyFont="1" applyFill="1" applyBorder="1" applyAlignment="1">
      <alignment horizontal="center"/>
      <protection/>
    </xf>
    <xf numFmtId="0" fontId="39" fillId="22" borderId="11" xfId="69" applyFont="1" applyFill="1" applyBorder="1" applyAlignment="1">
      <alignment horizontal="center"/>
      <protection/>
    </xf>
    <xf numFmtId="0" fontId="1" fillId="22" borderId="12" xfId="69" applyFill="1" applyBorder="1" applyAlignment="1">
      <alignment horizontal="left"/>
      <protection/>
    </xf>
    <xf numFmtId="166" fontId="1" fillId="22" borderId="13" xfId="69" applyNumberFormat="1" applyFill="1" applyBorder="1" applyAlignment="1">
      <alignment horizontal="center"/>
      <protection/>
    </xf>
    <xf numFmtId="0" fontId="1" fillId="22" borderId="14" xfId="69" applyFill="1" applyBorder="1" applyAlignment="1">
      <alignment horizontal="left"/>
      <protection/>
    </xf>
    <xf numFmtId="166" fontId="1" fillId="22" borderId="15" xfId="69" applyNumberFormat="1" applyFill="1" applyBorder="1" applyAlignment="1">
      <alignment horizontal="center"/>
      <protection/>
    </xf>
    <xf numFmtId="0" fontId="1" fillId="22" borderId="12" xfId="69" applyFont="1" applyFill="1" applyBorder="1" applyAlignment="1">
      <alignment horizontal="left"/>
      <protection/>
    </xf>
    <xf numFmtId="0" fontId="1" fillId="22" borderId="16" xfId="69" applyFill="1" applyBorder="1" applyAlignment="1">
      <alignment horizontal="center"/>
      <protection/>
    </xf>
    <xf numFmtId="0" fontId="1" fillId="22" borderId="14" xfId="69" applyFont="1" applyFill="1" applyBorder="1" applyAlignment="1">
      <alignment horizontal="left"/>
      <protection/>
    </xf>
    <xf numFmtId="0" fontId="1" fillId="22" borderId="17" xfId="69" applyFill="1" applyBorder="1" applyAlignment="1">
      <alignment horizontal="center"/>
      <protection/>
    </xf>
    <xf numFmtId="0" fontId="0" fillId="0" borderId="0" xfId="65">
      <alignment/>
      <protection/>
    </xf>
    <xf numFmtId="0" fontId="0" fillId="0" borderId="0" xfId="65" applyFont="1">
      <alignment/>
      <protection/>
    </xf>
    <xf numFmtId="0" fontId="0" fillId="0" borderId="0" xfId="0" applyAlignment="1" applyProtection="1">
      <alignment/>
      <protection/>
    </xf>
    <xf numFmtId="0" fontId="27" fillId="0" borderId="0" xfId="0" applyFont="1" applyAlignment="1" applyProtection="1">
      <alignment/>
      <protection/>
    </xf>
    <xf numFmtId="0" fontId="0" fillId="0" borderId="0" xfId="0" applyFont="1" applyAlignment="1" applyProtection="1">
      <alignment/>
      <protection/>
    </xf>
    <xf numFmtId="0" fontId="0" fillId="24" borderId="0" xfId="0" applyFont="1" applyFill="1" applyAlignment="1" applyProtection="1">
      <alignment/>
      <protection/>
    </xf>
    <xf numFmtId="0" fontId="26" fillId="0" borderId="0" xfId="0" applyFont="1" applyAlignment="1" applyProtection="1">
      <alignment/>
      <protection/>
    </xf>
    <xf numFmtId="0" fontId="0" fillId="0" borderId="0" xfId="0" applyBorder="1" applyAlignment="1" applyProtection="1">
      <alignment/>
      <protection/>
    </xf>
    <xf numFmtId="3" fontId="3" fillId="0" borderId="18" xfId="0" applyNumberFormat="1" applyFont="1" applyFill="1" applyBorder="1" applyAlignment="1" applyProtection="1">
      <alignment vertical="center" wrapText="1"/>
      <protection/>
    </xf>
    <xf numFmtId="0" fontId="0" fillId="0" borderId="19" xfId="0" applyBorder="1" applyAlignment="1" applyProtection="1">
      <alignment/>
      <protection/>
    </xf>
    <xf numFmtId="3" fontId="4" fillId="0" borderId="20" xfId="0" applyNumberFormat="1" applyFont="1" applyFill="1" applyBorder="1" applyAlignment="1" applyProtection="1">
      <alignment wrapText="1"/>
      <protection/>
    </xf>
    <xf numFmtId="3" fontId="58" fillId="0" borderId="0" xfId="0" applyNumberFormat="1" applyFont="1" applyFill="1" applyBorder="1" applyAlignment="1" applyProtection="1">
      <alignment horizontal="left"/>
      <protection/>
    </xf>
    <xf numFmtId="3" fontId="61" fillId="0" borderId="0" xfId="0" applyNumberFormat="1" applyFont="1" applyFill="1" applyBorder="1" applyAlignment="1" applyProtection="1">
      <alignment vertical="center"/>
      <protection/>
    </xf>
    <xf numFmtId="0" fontId="0" fillId="25" borderId="21" xfId="0" applyFill="1" applyBorder="1" applyAlignment="1" applyProtection="1">
      <alignment/>
      <protection/>
    </xf>
    <xf numFmtId="0" fontId="0" fillId="25" borderId="0" xfId="0" applyFill="1" applyBorder="1" applyAlignment="1" applyProtection="1">
      <alignment/>
      <protection/>
    </xf>
    <xf numFmtId="0" fontId="0" fillId="25" borderId="22" xfId="0" applyFill="1" applyBorder="1" applyAlignment="1" applyProtection="1">
      <alignment/>
      <protection/>
    </xf>
    <xf numFmtId="0" fontId="0" fillId="25" borderId="23" xfId="0" applyFill="1" applyBorder="1" applyAlignment="1" applyProtection="1">
      <alignment/>
      <protection/>
    </xf>
    <xf numFmtId="0" fontId="25" fillId="25" borderId="24" xfId="0" applyFont="1" applyFill="1" applyBorder="1" applyAlignment="1" applyProtection="1">
      <alignment/>
      <protection/>
    </xf>
    <xf numFmtId="0" fontId="25" fillId="25" borderId="25" xfId="0" applyFont="1" applyFill="1" applyBorder="1" applyAlignment="1" applyProtection="1">
      <alignment/>
      <protection/>
    </xf>
    <xf numFmtId="0" fontId="25" fillId="25" borderId="26" xfId="0" applyFont="1" applyFill="1" applyBorder="1" applyAlignment="1" applyProtection="1">
      <alignment/>
      <protection/>
    </xf>
    <xf numFmtId="0" fontId="0" fillId="0" borderId="23" xfId="0" applyBorder="1" applyAlignment="1" applyProtection="1">
      <alignment/>
      <protection/>
    </xf>
    <xf numFmtId="0" fontId="31" fillId="0" borderId="0" xfId="0" applyFont="1" applyAlignment="1" applyProtection="1">
      <alignment/>
      <protection/>
    </xf>
    <xf numFmtId="0" fontId="0" fillId="25" borderId="27" xfId="0" applyFill="1" applyBorder="1" applyAlignment="1" applyProtection="1">
      <alignment horizontal="left"/>
      <protection/>
    </xf>
    <xf numFmtId="0" fontId="0" fillId="25" borderId="25" xfId="0" applyFill="1" applyBorder="1" applyAlignment="1" applyProtection="1">
      <alignment horizontal="left"/>
      <protection/>
    </xf>
    <xf numFmtId="0" fontId="0" fillId="25" borderId="25" xfId="0" applyFill="1" applyBorder="1" applyAlignment="1" applyProtection="1">
      <alignment/>
      <protection/>
    </xf>
    <xf numFmtId="0" fontId="0" fillId="25" borderId="26" xfId="0" applyFill="1" applyBorder="1" applyAlignment="1" applyProtection="1">
      <alignment/>
      <protection/>
    </xf>
    <xf numFmtId="0" fontId="0" fillId="0" borderId="0" xfId="0" applyAlignment="1" applyProtection="1">
      <alignment horizontal="left"/>
      <protection/>
    </xf>
    <xf numFmtId="0" fontId="0" fillId="25" borderId="28" xfId="0" applyFill="1" applyBorder="1" applyAlignment="1" applyProtection="1">
      <alignment horizontal="left"/>
      <protection/>
    </xf>
    <xf numFmtId="0" fontId="0" fillId="25" borderId="29" xfId="0" applyFill="1" applyBorder="1" applyAlignment="1" applyProtection="1">
      <alignment horizontal="left"/>
      <protection/>
    </xf>
    <xf numFmtId="0" fontId="37" fillId="25" borderId="29" xfId="0" applyFont="1" applyFill="1" applyBorder="1" applyAlignment="1" applyProtection="1">
      <alignment horizontal="center"/>
      <protection/>
    </xf>
    <xf numFmtId="0" fontId="37" fillId="25" borderId="30" xfId="0" applyFont="1" applyFill="1" applyBorder="1" applyAlignment="1" applyProtection="1">
      <alignment horizontal="center"/>
      <protection/>
    </xf>
    <xf numFmtId="0" fontId="0" fillId="0" borderId="27" xfId="0" applyFont="1" applyFill="1" applyBorder="1" applyAlignment="1" applyProtection="1">
      <alignment vertical="top" wrapText="1"/>
      <protection/>
    </xf>
    <xf numFmtId="0" fontId="0" fillId="0" borderId="26" xfId="0" applyFont="1" applyFill="1" applyBorder="1" applyAlignment="1" applyProtection="1">
      <alignment vertical="top" wrapText="1"/>
      <protection/>
    </xf>
    <xf numFmtId="0" fontId="0" fillId="0" borderId="25" xfId="0" applyFont="1" applyFill="1" applyBorder="1" applyAlignment="1" applyProtection="1">
      <alignment horizontal="left" vertical="top" wrapText="1"/>
      <protection/>
    </xf>
    <xf numFmtId="0" fontId="0" fillId="0" borderId="26"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25" borderId="0" xfId="0" applyFill="1" applyAlignment="1" applyProtection="1">
      <alignment/>
      <protection/>
    </xf>
    <xf numFmtId="0" fontId="0" fillId="25" borderId="31" xfId="0" applyFill="1" applyBorder="1" applyAlignment="1" applyProtection="1">
      <alignment/>
      <protection/>
    </xf>
    <xf numFmtId="0" fontId="0" fillId="20" borderId="32" xfId="0" applyFont="1" applyFill="1" applyBorder="1" applyAlignment="1" applyProtection="1">
      <alignment horizontal="center" vertical="top" wrapText="1"/>
      <protection/>
    </xf>
    <xf numFmtId="0" fontId="37" fillId="0" borderId="20" xfId="0" applyFont="1" applyFill="1" applyBorder="1" applyAlignment="1" applyProtection="1">
      <alignment horizontal="center" vertical="top" wrapText="1"/>
      <protection/>
    </xf>
    <xf numFmtId="3" fontId="0" fillId="0" borderId="33" xfId="0" applyNumberFormat="1" applyFont="1" applyFill="1" applyBorder="1" applyAlignment="1" applyProtection="1">
      <alignment horizontal="center"/>
      <protection/>
    </xf>
    <xf numFmtId="0" fontId="57" fillId="21" borderId="27" xfId="0" applyFont="1" applyFill="1" applyBorder="1" applyAlignment="1" applyProtection="1">
      <alignment/>
      <protection/>
    </xf>
    <xf numFmtId="0" fontId="25" fillId="21" borderId="25" xfId="0" applyFont="1" applyFill="1" applyBorder="1" applyAlignment="1" applyProtection="1">
      <alignment/>
      <protection/>
    </xf>
    <xf numFmtId="0" fontId="25" fillId="21" borderId="26" xfId="0" applyFont="1" applyFill="1" applyBorder="1" applyAlignment="1" applyProtection="1">
      <alignment/>
      <protection/>
    </xf>
    <xf numFmtId="0" fontId="0" fillId="0" borderId="34" xfId="0" applyFont="1" applyBorder="1" applyAlignment="1" applyProtection="1">
      <alignment horizontal="center"/>
      <protection/>
    </xf>
    <xf numFmtId="0" fontId="0" fillId="25" borderId="27" xfId="0" applyFill="1" applyBorder="1" applyAlignment="1" applyProtection="1">
      <alignment/>
      <protection/>
    </xf>
    <xf numFmtId="0" fontId="31" fillId="0" borderId="27" xfId="0" applyFont="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21" borderId="35" xfId="0" applyFont="1" applyFill="1" applyBorder="1" applyAlignment="1" applyProtection="1">
      <alignment horizontal="center" vertical="center" wrapText="1"/>
      <protection/>
    </xf>
    <xf numFmtId="0" fontId="37" fillId="0" borderId="36" xfId="0" applyFont="1" applyBorder="1" applyAlignment="1" applyProtection="1">
      <alignment horizontal="center"/>
      <protection/>
    </xf>
    <xf numFmtId="166" fontId="37" fillId="0" borderId="37" xfId="0" applyNumberFormat="1" applyFont="1" applyFill="1" applyBorder="1" applyAlignment="1" applyProtection="1">
      <alignment/>
      <protection/>
    </xf>
    <xf numFmtId="0" fontId="37" fillId="0" borderId="38" xfId="0" applyFont="1" applyBorder="1" applyAlignment="1" applyProtection="1">
      <alignment horizontal="center"/>
      <protection/>
    </xf>
    <xf numFmtId="0" fontId="37" fillId="0" borderId="39" xfId="0" applyFont="1" applyBorder="1" applyAlignment="1" applyProtection="1">
      <alignment horizontal="center"/>
      <protection/>
    </xf>
    <xf numFmtId="0" fontId="0" fillId="0" borderId="40" xfId="0" applyFont="1" applyFill="1" applyBorder="1" applyAlignment="1" applyProtection="1">
      <alignment horizontal="left" vertical="top" wrapText="1"/>
      <protection/>
    </xf>
    <xf numFmtId="0" fontId="37" fillId="0" borderId="41" xfId="0" applyFont="1" applyBorder="1" applyAlignment="1" applyProtection="1">
      <alignment horizontal="center"/>
      <protection/>
    </xf>
    <xf numFmtId="0" fontId="0" fillId="21" borderId="42" xfId="0" applyFont="1" applyFill="1" applyBorder="1" applyAlignment="1" applyProtection="1">
      <alignment horizontal="center" vertical="center" wrapText="1"/>
      <protection/>
    </xf>
    <xf numFmtId="0" fontId="0" fillId="21" borderId="43" xfId="0" applyFill="1" applyBorder="1" applyAlignment="1" applyProtection="1">
      <alignment horizontal="center" vertical="center"/>
      <protection/>
    </xf>
    <xf numFmtId="0" fontId="0" fillId="0" borderId="39" xfId="0" applyFont="1" applyFill="1" applyBorder="1" applyAlignment="1" applyProtection="1">
      <alignment horizontal="center" vertical="top" wrapText="1"/>
      <protection/>
    </xf>
    <xf numFmtId="0" fontId="0" fillId="0" borderId="36" xfId="0" applyFont="1" applyFill="1" applyBorder="1" applyAlignment="1" applyProtection="1">
      <alignment horizontal="center" vertical="top" wrapText="1"/>
      <protection/>
    </xf>
    <xf numFmtId="0" fontId="0" fillId="0" borderId="44" xfId="0" applyFont="1" applyFill="1" applyBorder="1" applyAlignment="1" applyProtection="1">
      <alignment horizontal="center" vertical="top" wrapText="1"/>
      <protection/>
    </xf>
    <xf numFmtId="0" fontId="0" fillId="0" borderId="41" xfId="0" applyFont="1" applyFill="1" applyBorder="1" applyAlignment="1" applyProtection="1">
      <alignment horizontal="center" vertical="top" wrapText="1"/>
      <protection/>
    </xf>
    <xf numFmtId="0" fontId="0" fillId="25" borderId="28" xfId="0" applyFill="1" applyBorder="1" applyAlignment="1" applyProtection="1">
      <alignment/>
      <protection/>
    </xf>
    <xf numFmtId="0" fontId="0" fillId="25" borderId="29" xfId="0" applyFill="1" applyBorder="1" applyAlignment="1" applyProtection="1">
      <alignment/>
      <protection/>
    </xf>
    <xf numFmtId="0" fontId="0" fillId="25" borderId="30" xfId="0" applyFill="1" applyBorder="1" applyAlignment="1" applyProtection="1">
      <alignment/>
      <protection/>
    </xf>
    <xf numFmtId="0" fontId="0" fillId="20" borderId="45" xfId="0" applyFill="1" applyBorder="1" applyAlignment="1" applyProtection="1">
      <alignment/>
      <protection/>
    </xf>
    <xf numFmtId="0" fontId="0" fillId="0" borderId="32" xfId="0" applyFill="1" applyBorder="1" applyAlignment="1" applyProtection="1">
      <alignment/>
      <protection/>
    </xf>
    <xf numFmtId="0" fontId="0" fillId="0" borderId="31" xfId="0" applyBorder="1" applyAlignment="1" applyProtection="1">
      <alignment/>
      <protection/>
    </xf>
    <xf numFmtId="0" fontId="0" fillId="21" borderId="0" xfId="0" applyFill="1" applyAlignment="1" applyProtection="1">
      <alignment/>
      <protection/>
    </xf>
    <xf numFmtId="0" fontId="0" fillId="21" borderId="23" xfId="0" applyFill="1" applyBorder="1" applyAlignment="1" applyProtection="1">
      <alignment/>
      <protection/>
    </xf>
    <xf numFmtId="0" fontId="0" fillId="20" borderId="25" xfId="0" applyFill="1" applyBorder="1" applyAlignment="1" applyProtection="1">
      <alignment/>
      <protection/>
    </xf>
    <xf numFmtId="2" fontId="0" fillId="0" borderId="20" xfId="0" applyNumberFormat="1" applyFill="1" applyBorder="1" applyAlignment="1" applyProtection="1">
      <alignment/>
      <protection/>
    </xf>
    <xf numFmtId="0" fontId="12" fillId="21" borderId="32" xfId="0" applyFont="1" applyFill="1" applyBorder="1" applyAlignment="1" applyProtection="1">
      <alignment/>
      <protection/>
    </xf>
    <xf numFmtId="0" fontId="12" fillId="21" borderId="32" xfId="0" applyFont="1" applyFill="1" applyBorder="1" applyAlignment="1" applyProtection="1">
      <alignment horizontal="center"/>
      <protection/>
    </xf>
    <xf numFmtId="0" fontId="12" fillId="21" borderId="20" xfId="0" applyFont="1" applyFill="1" applyBorder="1" applyAlignment="1" applyProtection="1">
      <alignment/>
      <protection/>
    </xf>
    <xf numFmtId="0" fontId="12" fillId="21" borderId="25" xfId="0" applyFont="1" applyFill="1" applyBorder="1" applyAlignment="1" applyProtection="1">
      <alignment horizontal="center"/>
      <protection/>
    </xf>
    <xf numFmtId="0" fontId="12" fillId="21" borderId="20" xfId="0" applyFont="1" applyFill="1" applyBorder="1" applyAlignment="1" applyProtection="1">
      <alignment horizontal="center"/>
      <protection/>
    </xf>
    <xf numFmtId="0" fontId="12" fillId="21" borderId="26" xfId="0" applyFont="1" applyFill="1" applyBorder="1" applyAlignment="1" applyProtection="1">
      <alignment horizontal="center"/>
      <protection/>
    </xf>
    <xf numFmtId="0" fontId="0" fillId="0" borderId="20" xfId="0" applyBorder="1" applyAlignment="1" applyProtection="1">
      <alignment/>
      <protection/>
    </xf>
    <xf numFmtId="3" fontId="0" fillId="0" borderId="20" xfId="0" applyNumberFormat="1" applyFill="1" applyBorder="1" applyAlignment="1" applyProtection="1">
      <alignment/>
      <protection/>
    </xf>
    <xf numFmtId="9" fontId="0" fillId="0" borderId="20" xfId="73" applyFont="1" applyFill="1" applyBorder="1" applyAlignment="1" applyProtection="1">
      <alignment horizontal="center"/>
      <protection/>
    </xf>
    <xf numFmtId="0" fontId="12" fillId="21" borderId="25" xfId="0" applyFont="1" applyFill="1" applyBorder="1" applyAlignment="1" applyProtection="1">
      <alignment/>
      <protection/>
    </xf>
    <xf numFmtId="0" fontId="12" fillId="21" borderId="46" xfId="0" applyFont="1" applyFill="1" applyBorder="1" applyAlignment="1" applyProtection="1">
      <alignment horizontal="center"/>
      <protection/>
    </xf>
    <xf numFmtId="0" fontId="0" fillId="26" borderId="47" xfId="0" applyFill="1" applyBorder="1" applyAlignment="1" applyProtection="1">
      <alignment/>
      <protection/>
    </xf>
    <xf numFmtId="0" fontId="0" fillId="26" borderId="45" xfId="0" applyFill="1" applyBorder="1" applyAlignment="1" applyProtection="1">
      <alignment/>
      <protection/>
    </xf>
    <xf numFmtId="0" fontId="0" fillId="26" borderId="31" xfId="0" applyFill="1" applyBorder="1" applyAlignment="1" applyProtection="1">
      <alignment/>
      <protection/>
    </xf>
    <xf numFmtId="0" fontId="0" fillId="26" borderId="40" xfId="0" applyFill="1" applyBorder="1" applyAlignment="1" applyProtection="1">
      <alignment/>
      <protection/>
    </xf>
    <xf numFmtId="0" fontId="0" fillId="26" borderId="0" xfId="0" applyFill="1" applyBorder="1" applyAlignment="1" applyProtection="1">
      <alignment/>
      <protection/>
    </xf>
    <xf numFmtId="0" fontId="0" fillId="26" borderId="23" xfId="0" applyFill="1" applyBorder="1" applyAlignment="1" applyProtection="1">
      <alignment/>
      <protection/>
    </xf>
    <xf numFmtId="3" fontId="0" fillId="0" borderId="27" xfId="0" applyNumberFormat="1" applyFill="1" applyBorder="1" applyAlignment="1" applyProtection="1">
      <alignment/>
      <protection/>
    </xf>
    <xf numFmtId="0" fontId="0" fillId="26" borderId="28" xfId="0" applyFill="1" applyBorder="1" applyAlignment="1" applyProtection="1">
      <alignment/>
      <protection/>
    </xf>
    <xf numFmtId="0" fontId="0" fillId="26" borderId="29" xfId="0" applyFill="1" applyBorder="1" applyAlignment="1" applyProtection="1">
      <alignment/>
      <protection/>
    </xf>
    <xf numFmtId="0" fontId="0" fillId="26" borderId="30" xfId="0" applyFill="1" applyBorder="1" applyAlignment="1" applyProtection="1">
      <alignment/>
      <protection/>
    </xf>
    <xf numFmtId="0" fontId="37" fillId="25" borderId="29" xfId="0" applyFont="1" applyFill="1" applyBorder="1" applyAlignment="1" applyProtection="1">
      <alignment horizontal="left"/>
      <protection/>
    </xf>
    <xf numFmtId="0" fontId="37" fillId="0" borderId="48" xfId="0" applyFont="1" applyFill="1" applyBorder="1" applyAlignment="1" applyProtection="1">
      <alignment horizontal="center" vertical="top" wrapText="1"/>
      <protection/>
    </xf>
    <xf numFmtId="0" fontId="37" fillId="0" borderId="37" xfId="0" applyFont="1" applyFill="1" applyBorder="1" applyAlignment="1" applyProtection="1">
      <alignment vertical="top" wrapText="1"/>
      <protection/>
    </xf>
    <xf numFmtId="0" fontId="37" fillId="0" borderId="37" xfId="0" applyFont="1" applyFill="1" applyBorder="1" applyAlignment="1" applyProtection="1">
      <alignment/>
      <protection/>
    </xf>
    <xf numFmtId="0" fontId="37" fillId="0" borderId="0" xfId="0" applyFont="1" applyFill="1" applyBorder="1" applyAlignment="1" applyProtection="1">
      <alignment/>
      <protection/>
    </xf>
    <xf numFmtId="0" fontId="37" fillId="0" borderId="23" xfId="0" applyFont="1" applyFill="1" applyBorder="1" applyAlignment="1" applyProtection="1">
      <alignment/>
      <protection/>
    </xf>
    <xf numFmtId="0" fontId="59" fillId="27" borderId="0" xfId="0" applyFont="1" applyFill="1" applyAlignment="1" applyProtection="1">
      <alignment/>
      <protection/>
    </xf>
    <xf numFmtId="0" fontId="59" fillId="27" borderId="0" xfId="0" applyFont="1" applyFill="1" applyAlignment="1" applyProtection="1">
      <alignment wrapText="1"/>
      <protection/>
    </xf>
    <xf numFmtId="0" fontId="5" fillId="27" borderId="0" xfId="0" applyFont="1" applyFill="1" applyAlignment="1" applyProtection="1">
      <alignment/>
      <protection/>
    </xf>
    <xf numFmtId="0" fontId="5" fillId="27" borderId="0" xfId="0" applyFont="1" applyFill="1" applyAlignment="1" applyProtection="1">
      <alignment horizontal="right" vertical="top" wrapText="1"/>
      <protection/>
    </xf>
    <xf numFmtId="0" fontId="3" fillId="27" borderId="40" xfId="0" applyFont="1" applyFill="1" applyBorder="1" applyAlignment="1" applyProtection="1">
      <alignment horizontal="justify" wrapText="1"/>
      <protection/>
    </xf>
    <xf numFmtId="0" fontId="3" fillId="27" borderId="23" xfId="0" applyFont="1" applyFill="1" applyBorder="1" applyAlignment="1" applyProtection="1">
      <alignment horizontal="justify" wrapText="1"/>
      <protection/>
    </xf>
    <xf numFmtId="0" fontId="3" fillId="27" borderId="40" xfId="0" applyFont="1" applyFill="1" applyBorder="1" applyAlignment="1" applyProtection="1">
      <alignment/>
      <protection/>
    </xf>
    <xf numFmtId="0" fontId="3" fillId="27" borderId="23" xfId="0" applyFont="1" applyFill="1" applyBorder="1" applyAlignment="1" applyProtection="1">
      <alignment wrapText="1"/>
      <protection/>
    </xf>
    <xf numFmtId="0" fontId="3" fillId="27" borderId="13" xfId="0" applyFont="1" applyFill="1" applyBorder="1" applyAlignment="1" applyProtection="1">
      <alignment wrapText="1"/>
      <protection/>
    </xf>
    <xf numFmtId="0" fontId="3" fillId="27" borderId="40" xfId="0" applyFont="1" applyFill="1" applyBorder="1" applyAlignment="1" applyProtection="1">
      <alignment horizontal="left"/>
      <protection/>
    </xf>
    <xf numFmtId="0" fontId="60" fillId="27" borderId="23" xfId="0" applyFont="1" applyFill="1" applyBorder="1" applyAlignment="1" applyProtection="1">
      <alignment horizontal="right" vertical="top" wrapText="1"/>
      <protection/>
    </xf>
    <xf numFmtId="0" fontId="3" fillId="27" borderId="23" xfId="0" applyFont="1" applyFill="1" applyBorder="1" applyAlignment="1" applyProtection="1">
      <alignment horizontal="right" vertical="top" wrapText="1"/>
      <protection/>
    </xf>
    <xf numFmtId="0" fontId="0" fillId="27" borderId="40" xfId="0" applyFill="1" applyBorder="1" applyAlignment="1" applyProtection="1">
      <alignment/>
      <protection/>
    </xf>
    <xf numFmtId="0" fontId="0" fillId="27" borderId="23" xfId="0" applyFill="1" applyBorder="1" applyAlignment="1" applyProtection="1">
      <alignment horizontal="right" vertical="top" wrapText="1"/>
      <protection/>
    </xf>
    <xf numFmtId="0" fontId="3" fillId="27" borderId="0" xfId="0" applyFont="1" applyFill="1" applyBorder="1" applyAlignment="1" applyProtection="1">
      <alignment/>
      <protection/>
    </xf>
    <xf numFmtId="0" fontId="3" fillId="27" borderId="28" xfId="0" applyFont="1" applyFill="1" applyBorder="1" applyAlignment="1" applyProtection="1">
      <alignment/>
      <protection/>
    </xf>
    <xf numFmtId="0" fontId="3" fillId="27" borderId="15" xfId="0" applyFont="1" applyFill="1" applyBorder="1" applyAlignment="1" applyProtection="1">
      <alignment wrapText="1"/>
      <protection/>
    </xf>
    <xf numFmtId="0" fontId="1" fillId="0" borderId="0" xfId="68" applyProtection="1">
      <alignment/>
      <protection/>
    </xf>
    <xf numFmtId="0" fontId="0" fillId="0" borderId="0" xfId="0" applyAlignment="1" applyProtection="1">
      <alignment/>
      <protection/>
    </xf>
    <xf numFmtId="0" fontId="8" fillId="0" borderId="0" xfId="68" applyFont="1" applyProtection="1">
      <alignment/>
      <protection/>
    </xf>
    <xf numFmtId="165" fontId="0" fillId="27" borderId="16" xfId="0" applyNumberFormat="1" applyFill="1" applyBorder="1" applyAlignment="1" applyProtection="1">
      <alignment horizontal="center"/>
      <protection/>
    </xf>
    <xf numFmtId="0" fontId="47" fillId="0" borderId="0" xfId="0" applyFont="1" applyAlignment="1" applyProtection="1">
      <alignment/>
      <protection/>
    </xf>
    <xf numFmtId="0" fontId="0" fillId="0" borderId="47" xfId="0" applyFont="1" applyFill="1" applyBorder="1" applyAlignment="1" applyProtection="1">
      <alignment/>
      <protection/>
    </xf>
    <xf numFmtId="0" fontId="0" fillId="0" borderId="45" xfId="0" applyFont="1" applyFill="1" applyBorder="1" applyAlignment="1" applyProtection="1">
      <alignment/>
      <protection/>
    </xf>
    <xf numFmtId="0" fontId="48" fillId="0" borderId="49" xfId="0" applyFont="1" applyFill="1" applyBorder="1" applyAlignment="1" applyProtection="1">
      <alignment vertical="top"/>
      <protection/>
    </xf>
    <xf numFmtId="0" fontId="48" fillId="0" borderId="50" xfId="0" applyFont="1" applyFill="1" applyBorder="1" applyAlignment="1" applyProtection="1">
      <alignment vertical="top"/>
      <protection/>
    </xf>
    <xf numFmtId="0" fontId="48" fillId="0" borderId="31" xfId="0" applyFont="1" applyFill="1" applyBorder="1" applyAlignment="1" applyProtection="1">
      <alignment vertical="top"/>
      <protection/>
    </xf>
    <xf numFmtId="0" fontId="48" fillId="0" borderId="51" xfId="0" applyFont="1" applyFill="1" applyBorder="1" applyAlignment="1" applyProtection="1">
      <alignment horizontal="center" vertical="top" wrapText="1"/>
      <protection/>
    </xf>
    <xf numFmtId="0" fontId="48" fillId="0" borderId="52" xfId="0" applyFont="1" applyFill="1" applyBorder="1" applyAlignment="1" applyProtection="1">
      <alignment horizontal="center" vertical="top" wrapText="1"/>
      <protection/>
    </xf>
    <xf numFmtId="0" fontId="48" fillId="0" borderId="52" xfId="0" applyFont="1" applyFill="1" applyBorder="1" applyAlignment="1" applyProtection="1">
      <alignment horizontal="center" vertical="top"/>
      <protection/>
    </xf>
    <xf numFmtId="0" fontId="48" fillId="0" borderId="53" xfId="65" applyFont="1" applyBorder="1" applyAlignment="1" applyProtection="1">
      <alignment horizontal="center" vertical="top" wrapText="1"/>
      <protection/>
    </xf>
    <xf numFmtId="0" fontId="48" fillId="0" borderId="54" xfId="0" applyFont="1" applyFill="1" applyBorder="1" applyAlignment="1" applyProtection="1">
      <alignment horizontal="center" vertical="top" wrapText="1"/>
      <protection/>
    </xf>
    <xf numFmtId="0" fontId="48" fillId="0" borderId="38" xfId="65" applyFont="1" applyBorder="1" applyAlignment="1" applyProtection="1">
      <alignment horizontal="center" vertical="center" wrapText="1"/>
      <protection/>
    </xf>
    <xf numFmtId="0" fontId="48" fillId="0" borderId="38" xfId="65" applyFont="1" applyBorder="1" applyAlignment="1" applyProtection="1">
      <alignment horizontal="center" vertical="center"/>
      <protection/>
    </xf>
    <xf numFmtId="0" fontId="48" fillId="0" borderId="55" xfId="65" applyFont="1" applyBorder="1" applyAlignment="1" applyProtection="1">
      <alignment horizontal="center" vertical="center"/>
      <protection/>
    </xf>
    <xf numFmtId="0" fontId="48" fillId="0" borderId="56" xfId="0" applyFont="1" applyFill="1" applyBorder="1" applyAlignment="1" applyProtection="1">
      <alignment horizontal="center" vertical="top"/>
      <protection/>
    </xf>
    <xf numFmtId="0" fontId="48" fillId="0" borderId="57" xfId="0" applyFont="1" applyFill="1" applyBorder="1" applyAlignment="1" applyProtection="1">
      <alignment horizontal="center" vertical="top"/>
      <protection/>
    </xf>
    <xf numFmtId="0" fontId="48" fillId="0" borderId="58" xfId="0" applyFont="1" applyFill="1" applyBorder="1" applyAlignment="1" applyProtection="1">
      <alignment horizontal="center" vertical="top" wrapText="1"/>
      <protection/>
    </xf>
    <xf numFmtId="0" fontId="48" fillId="0" borderId="59" xfId="65" applyFont="1" applyBorder="1" applyAlignment="1" applyProtection="1">
      <alignment horizontal="center"/>
      <protection/>
    </xf>
    <xf numFmtId="0" fontId="48" fillId="0" borderId="60" xfId="0" applyFont="1" applyFill="1" applyBorder="1" applyAlignment="1" applyProtection="1">
      <alignment horizontal="center" vertical="top" wrapText="1"/>
      <protection/>
    </xf>
    <xf numFmtId="0" fontId="48" fillId="0" borderId="61" xfId="0" applyFont="1" applyFill="1" applyBorder="1" applyAlignment="1" applyProtection="1">
      <alignment horizontal="center" vertical="top" wrapText="1"/>
      <protection/>
    </xf>
    <xf numFmtId="0" fontId="48" fillId="0" borderId="62" xfId="0" applyFont="1" applyFill="1" applyBorder="1" applyAlignment="1" applyProtection="1">
      <alignment vertical="top" wrapText="1"/>
      <protection/>
    </xf>
    <xf numFmtId="0" fontId="48" fillId="0" borderId="63" xfId="65" applyFont="1" applyBorder="1" applyAlignment="1" applyProtection="1">
      <alignment horizontal="center"/>
      <protection/>
    </xf>
    <xf numFmtId="0" fontId="2" fillId="0" borderId="63" xfId="65" applyFont="1" applyBorder="1" applyProtection="1">
      <alignment/>
      <protection/>
    </xf>
    <xf numFmtId="0" fontId="2" fillId="0" borderId="64" xfId="0" applyFont="1" applyFill="1" applyBorder="1" applyAlignment="1" applyProtection="1">
      <alignment vertical="center" wrapText="1"/>
      <protection/>
    </xf>
    <xf numFmtId="0" fontId="2" fillId="0" borderId="65" xfId="0" applyFont="1" applyFill="1" applyBorder="1" applyAlignment="1" applyProtection="1">
      <alignment vertical="center" wrapText="1"/>
      <protection/>
    </xf>
    <xf numFmtId="3" fontId="2" fillId="0" borderId="66" xfId="0" applyNumberFormat="1" applyFont="1" applyFill="1" applyBorder="1" applyAlignment="1" applyProtection="1">
      <alignment horizontal="center" vertical="center"/>
      <protection/>
    </xf>
    <xf numFmtId="3" fontId="2" fillId="0" borderId="67" xfId="0" applyNumberFormat="1" applyFont="1" applyFill="1" applyBorder="1" applyAlignment="1" applyProtection="1">
      <alignment horizontal="center" vertical="center"/>
      <protection/>
    </xf>
    <xf numFmtId="169" fontId="2" fillId="0" borderId="65" xfId="0" applyNumberFormat="1" applyFont="1" applyFill="1" applyBorder="1" applyAlignment="1" applyProtection="1">
      <alignment horizontal="center" vertical="center"/>
      <protection/>
    </xf>
    <xf numFmtId="169" fontId="2" fillId="0" borderId="67" xfId="0" applyNumberFormat="1" applyFont="1" applyFill="1" applyBorder="1" applyAlignment="1" applyProtection="1">
      <alignment horizontal="center" vertical="center"/>
      <protection/>
    </xf>
    <xf numFmtId="166" fontId="2" fillId="0" borderId="67" xfId="0" applyNumberFormat="1" applyFont="1" applyFill="1" applyBorder="1" applyAlignment="1" applyProtection="1">
      <alignment horizontal="center" vertical="center"/>
      <protection/>
    </xf>
    <xf numFmtId="167" fontId="2" fillId="0" borderId="68" xfId="0" applyNumberFormat="1" applyFont="1" applyFill="1" applyBorder="1" applyAlignment="1" applyProtection="1">
      <alignment horizontal="center" vertical="center"/>
      <protection/>
    </xf>
    <xf numFmtId="169" fontId="2" fillId="27" borderId="38" xfId="0" applyNumberFormat="1" applyFont="1" applyFill="1" applyBorder="1" applyAlignment="1" applyProtection="1">
      <alignment horizontal="center" vertical="center"/>
      <protection/>
    </xf>
    <xf numFmtId="169" fontId="2" fillId="27" borderId="11" xfId="0" applyNumberFormat="1" applyFont="1" applyFill="1" applyBorder="1" applyAlignment="1" applyProtection="1">
      <alignment horizontal="center" vertical="center"/>
      <protection/>
    </xf>
    <xf numFmtId="167" fontId="2" fillId="0" borderId="69" xfId="0" applyNumberFormat="1" applyFont="1" applyFill="1" applyBorder="1" applyAlignment="1" applyProtection="1">
      <alignment horizontal="center" vertical="center"/>
      <protection/>
    </xf>
    <xf numFmtId="167" fontId="2" fillId="0" borderId="70" xfId="0" applyNumberFormat="1" applyFont="1" applyFill="1" applyBorder="1" applyAlignment="1" applyProtection="1">
      <alignment horizontal="center" vertical="center"/>
      <protection/>
    </xf>
    <xf numFmtId="169" fontId="2" fillId="0" borderId="71" xfId="0" applyNumberFormat="1" applyFont="1" applyFill="1" applyBorder="1" applyAlignment="1" applyProtection="1">
      <alignment horizontal="center" vertical="center"/>
      <protection/>
    </xf>
    <xf numFmtId="0" fontId="2" fillId="0" borderId="72" xfId="0" applyFont="1" applyFill="1" applyBorder="1" applyAlignment="1" applyProtection="1">
      <alignment vertical="center" wrapText="1"/>
      <protection/>
    </xf>
    <xf numFmtId="3" fontId="2" fillId="0" borderId="73" xfId="0" applyNumberFormat="1" applyFont="1" applyFill="1" applyBorder="1" applyAlignment="1" applyProtection="1">
      <alignment horizontal="center" vertical="center"/>
      <protection/>
    </xf>
    <xf numFmtId="3" fontId="2" fillId="0" borderId="74" xfId="0" applyNumberFormat="1" applyFont="1" applyFill="1" applyBorder="1" applyAlignment="1" applyProtection="1">
      <alignment horizontal="center" vertical="center"/>
      <protection/>
    </xf>
    <xf numFmtId="169" fontId="2" fillId="0" borderId="61" xfId="0" applyNumberFormat="1" applyFont="1" applyFill="1" applyBorder="1" applyAlignment="1" applyProtection="1">
      <alignment horizontal="center" vertical="center"/>
      <protection/>
    </xf>
    <xf numFmtId="167" fontId="2" fillId="0" borderId="75" xfId="0" applyNumberFormat="1" applyFont="1" applyFill="1" applyBorder="1" applyAlignment="1" applyProtection="1">
      <alignment horizontal="center" vertical="center"/>
      <protection/>
    </xf>
    <xf numFmtId="0" fontId="2" fillId="22" borderId="76" xfId="0" applyFont="1" applyFill="1" applyBorder="1" applyAlignment="1" applyProtection="1">
      <alignment vertical="center"/>
      <protection/>
    </xf>
    <xf numFmtId="0" fontId="2" fillId="22" borderId="60" xfId="0" applyFont="1" applyFill="1" applyBorder="1" applyAlignment="1" applyProtection="1">
      <alignment vertical="center"/>
      <protection/>
    </xf>
    <xf numFmtId="0" fontId="2" fillId="22" borderId="77" xfId="0" applyFont="1" applyFill="1" applyBorder="1" applyAlignment="1" applyProtection="1">
      <alignment vertical="center"/>
      <protection/>
    </xf>
    <xf numFmtId="164" fontId="2" fillId="22" borderId="78"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2" fillId="0" borderId="0" xfId="0" applyFont="1" applyBorder="1" applyAlignment="1" applyProtection="1">
      <alignment/>
      <protection/>
    </xf>
    <xf numFmtId="3" fontId="2" fillId="0" borderId="38" xfId="0" applyNumberFormat="1" applyFont="1" applyBorder="1" applyAlignment="1" applyProtection="1">
      <alignment horizontal="center"/>
      <protection/>
    </xf>
    <xf numFmtId="0" fontId="2" fillId="28" borderId="0" xfId="0" applyFont="1" applyFill="1" applyBorder="1" applyAlignment="1" applyProtection="1">
      <alignment vertical="center"/>
      <protection/>
    </xf>
    <xf numFmtId="169" fontId="2" fillId="0" borderId="55" xfId="0" applyNumberFormat="1" applyFont="1" applyBorder="1" applyAlignment="1" applyProtection="1">
      <alignment horizontal="center"/>
      <protection/>
    </xf>
    <xf numFmtId="166" fontId="2" fillId="0" borderId="79" xfId="0" applyNumberFormat="1" applyFont="1" applyFill="1" applyBorder="1" applyAlignment="1" applyProtection="1">
      <alignment horizontal="center" vertical="center"/>
      <protection/>
    </xf>
    <xf numFmtId="167" fontId="2" fillId="27" borderId="80" xfId="0" applyNumberFormat="1" applyFont="1" applyFill="1" applyBorder="1" applyAlignment="1" applyProtection="1">
      <alignment horizontal="center" vertical="center"/>
      <protection/>
    </xf>
    <xf numFmtId="169" fontId="2" fillId="27" borderId="81" xfId="0" applyNumberFormat="1" applyFont="1" applyFill="1" applyBorder="1" applyAlignment="1" applyProtection="1">
      <alignment horizontal="center" vertical="center"/>
      <protection/>
    </xf>
    <xf numFmtId="3" fontId="2" fillId="27" borderId="44" xfId="0" applyNumberFormat="1" applyFont="1" applyFill="1" applyBorder="1" applyAlignment="1" applyProtection="1">
      <alignment horizontal="center"/>
      <protection/>
    </xf>
    <xf numFmtId="169" fontId="48" fillId="0" borderId="16" xfId="0" applyNumberFormat="1" applyFont="1" applyFill="1" applyBorder="1" applyAlignment="1" applyProtection="1">
      <alignment horizontal="center"/>
      <protection/>
    </xf>
    <xf numFmtId="0" fontId="48" fillId="0" borderId="82" xfId="0" applyFont="1" applyBorder="1" applyAlignment="1" applyProtection="1">
      <alignment horizontal="right"/>
      <protection/>
    </xf>
    <xf numFmtId="2" fontId="48" fillId="0" borderId="20" xfId="0" applyNumberFormat="1" applyFont="1" applyBorder="1" applyAlignment="1" applyProtection="1">
      <alignment horizontal="center" vertical="center"/>
      <protection/>
    </xf>
    <xf numFmtId="0" fontId="48" fillId="0" borderId="20" xfId="0" applyFont="1" applyBorder="1" applyAlignment="1" applyProtection="1">
      <alignment horizontal="center" vertical="center"/>
      <protection/>
    </xf>
    <xf numFmtId="169" fontId="48" fillId="0" borderId="26" xfId="0" applyNumberFormat="1" applyFont="1" applyBorder="1" applyAlignment="1" applyProtection="1">
      <alignment horizontal="center" vertical="center"/>
      <protection/>
    </xf>
    <xf numFmtId="169" fontId="48" fillId="0" borderId="0" xfId="0" applyNumberFormat="1" applyFont="1" applyFill="1" applyBorder="1" applyAlignment="1" applyProtection="1">
      <alignment horizontal="center"/>
      <protection/>
    </xf>
    <xf numFmtId="0" fontId="48" fillId="0" borderId="0" xfId="0" applyFont="1" applyBorder="1" applyAlignment="1" applyProtection="1">
      <alignment horizontal="right"/>
      <protection/>
    </xf>
    <xf numFmtId="0" fontId="2" fillId="0" borderId="0" xfId="0" applyFont="1" applyAlignment="1" applyProtection="1">
      <alignment/>
      <protection/>
    </xf>
    <xf numFmtId="0" fontId="2" fillId="0" borderId="0" xfId="0" applyFont="1" applyFill="1" applyBorder="1" applyAlignment="1" applyProtection="1">
      <alignment/>
      <protection/>
    </xf>
    <xf numFmtId="0" fontId="48" fillId="0" borderId="0" xfId="0" applyFont="1" applyFill="1" applyBorder="1" applyAlignment="1" applyProtection="1">
      <alignment horizontal="right"/>
      <protection/>
    </xf>
    <xf numFmtId="0" fontId="47" fillId="0" borderId="0" xfId="0" applyFont="1" applyFill="1" applyBorder="1" applyAlignment="1" applyProtection="1">
      <alignment/>
      <protection/>
    </xf>
    <xf numFmtId="0" fontId="0" fillId="0" borderId="0" xfId="0" applyFont="1" applyFill="1" applyBorder="1" applyAlignment="1" applyProtection="1">
      <alignment/>
      <protection/>
    </xf>
    <xf numFmtId="0" fontId="48" fillId="0" borderId="0" xfId="0" applyFont="1" applyFill="1" applyBorder="1" applyAlignment="1" applyProtection="1">
      <alignment vertical="top"/>
      <protection/>
    </xf>
    <xf numFmtId="0" fontId="48" fillId="0" borderId="0" xfId="0" applyFont="1" applyFill="1" applyBorder="1" applyAlignment="1" applyProtection="1">
      <alignment vertical="top" wrapText="1"/>
      <protection/>
    </xf>
    <xf numFmtId="0" fontId="48" fillId="0" borderId="0"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protection/>
    </xf>
    <xf numFmtId="0" fontId="48" fillId="0" borderId="0" xfId="65" applyFont="1" applyFill="1" applyBorder="1" applyAlignment="1" applyProtection="1">
      <alignment horizontal="center" vertical="top" wrapText="1"/>
      <protection/>
    </xf>
    <xf numFmtId="0" fontId="48" fillId="0" borderId="0" xfId="65" applyFont="1" applyFill="1" applyBorder="1" applyAlignment="1" applyProtection="1">
      <alignment horizontal="center" vertical="center" wrapText="1"/>
      <protection/>
    </xf>
    <xf numFmtId="0" fontId="48" fillId="0" borderId="0" xfId="65" applyFont="1" applyFill="1" applyBorder="1" applyAlignment="1" applyProtection="1">
      <alignment horizontal="center" vertical="center"/>
      <protection/>
    </xf>
    <xf numFmtId="0" fontId="48" fillId="0" borderId="0" xfId="65" applyFont="1" applyFill="1" applyBorder="1" applyAlignment="1" applyProtection="1">
      <alignment horizontal="center"/>
      <protection/>
    </xf>
    <xf numFmtId="0" fontId="2" fillId="0" borderId="0" xfId="65" applyFont="1" applyFill="1" applyBorder="1" applyProtection="1">
      <alignment/>
      <protection/>
    </xf>
    <xf numFmtId="0" fontId="2" fillId="0" borderId="0" xfId="0" applyFont="1" applyFill="1" applyBorder="1" applyAlignment="1" applyProtection="1">
      <alignment vertical="center" wrapText="1"/>
      <protection/>
    </xf>
    <xf numFmtId="169"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166" fontId="2" fillId="0" borderId="0" xfId="0" applyNumberFormat="1" applyFont="1" applyFill="1" applyBorder="1" applyAlignment="1" applyProtection="1">
      <alignment horizontal="center" vertical="center"/>
      <protection/>
    </xf>
    <xf numFmtId="167"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164" fontId="2"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3" fontId="2" fillId="0" borderId="0" xfId="0" applyNumberFormat="1" applyFont="1" applyFill="1" applyBorder="1" applyAlignment="1" applyProtection="1">
      <alignment horizontal="center"/>
      <protection/>
    </xf>
    <xf numFmtId="169"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right"/>
      <protection/>
    </xf>
    <xf numFmtId="164" fontId="48" fillId="0" borderId="0" xfId="0" applyNumberFormat="1" applyFont="1" applyFill="1" applyBorder="1" applyAlignment="1" applyProtection="1">
      <alignment horizontal="center"/>
      <protection/>
    </xf>
    <xf numFmtId="0" fontId="48" fillId="0" borderId="0" xfId="0" applyFont="1" applyFill="1" applyBorder="1" applyAlignment="1" applyProtection="1">
      <alignment horizontal="center" vertical="center"/>
      <protection/>
    </xf>
    <xf numFmtId="169" fontId="4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0" fontId="0" fillId="0" borderId="0" xfId="65" applyProtection="1">
      <alignment/>
      <protection/>
    </xf>
    <xf numFmtId="0" fontId="56" fillId="0" borderId="0" xfId="65" applyFont="1" applyProtection="1">
      <alignment/>
      <protection/>
    </xf>
    <xf numFmtId="0" fontId="29" fillId="0" borderId="0" xfId="0" applyFont="1" applyAlignment="1" applyProtection="1">
      <alignment horizontal="left" vertical="top" wrapText="1" indent="1"/>
      <protection/>
    </xf>
    <xf numFmtId="0" fontId="0" fillId="0" borderId="0" xfId="65" applyFont="1" applyProtection="1">
      <alignment/>
      <protection/>
    </xf>
    <xf numFmtId="0" fontId="0" fillId="0" borderId="0" xfId="65" applyFont="1" applyAlignment="1" applyProtection="1">
      <alignment vertical="top" wrapText="1"/>
      <protection/>
    </xf>
    <xf numFmtId="0" fontId="0" fillId="0" borderId="0" xfId="65" applyFont="1" applyAlignment="1" applyProtection="1">
      <alignment horizontal="left" vertical="top" wrapText="1"/>
      <protection/>
    </xf>
    <xf numFmtId="0" fontId="0" fillId="0" borderId="0" xfId="65" applyBorder="1" applyAlignment="1" applyProtection="1">
      <alignment horizontal="left"/>
      <protection/>
    </xf>
    <xf numFmtId="0" fontId="27" fillId="0" borderId="0" xfId="65" applyFont="1" applyProtection="1">
      <alignment/>
      <protection/>
    </xf>
    <xf numFmtId="0" fontId="31" fillId="0" borderId="0" xfId="65" applyFont="1" applyProtection="1">
      <alignment/>
      <protection/>
    </xf>
    <xf numFmtId="0" fontId="0" fillId="0" borderId="0" xfId="65" applyAlignment="1" applyProtection="1">
      <alignment horizontal="left"/>
      <protection/>
    </xf>
    <xf numFmtId="0" fontId="31" fillId="0" borderId="29" xfId="65" applyFont="1" applyBorder="1" applyProtection="1">
      <alignment/>
      <protection/>
    </xf>
    <xf numFmtId="0" fontId="0" fillId="0" borderId="29" xfId="65" applyBorder="1" applyProtection="1">
      <alignment/>
      <protection/>
    </xf>
    <xf numFmtId="0" fontId="0" fillId="0" borderId="29" xfId="65" applyBorder="1" applyAlignment="1" applyProtection="1">
      <alignment horizontal="left"/>
      <protection/>
    </xf>
    <xf numFmtId="0" fontId="0" fillId="0" borderId="0" xfId="65" applyBorder="1" applyAlignment="1" applyProtection="1">
      <alignment/>
      <protection/>
    </xf>
    <xf numFmtId="0" fontId="0" fillId="20" borderId="40" xfId="65" applyFont="1" applyFill="1" applyBorder="1" applyAlignment="1" applyProtection="1">
      <alignment horizontal="left" vertical="top" wrapText="1"/>
      <protection/>
    </xf>
    <xf numFmtId="0" fontId="0" fillId="20" borderId="19" xfId="65" applyFont="1" applyFill="1" applyBorder="1" applyAlignment="1" applyProtection="1">
      <alignment horizontal="left" vertical="top" wrapText="1"/>
      <protection/>
    </xf>
    <xf numFmtId="0" fontId="0" fillId="0" borderId="0" xfId="65" applyFill="1" applyProtection="1">
      <alignment/>
      <protection/>
    </xf>
    <xf numFmtId="0" fontId="0" fillId="20" borderId="50" xfId="65" applyFont="1" applyFill="1" applyBorder="1" applyAlignment="1" applyProtection="1">
      <alignment horizontal="center" vertical="top" wrapText="1"/>
      <protection/>
    </xf>
    <xf numFmtId="0" fontId="0" fillId="20" borderId="35" xfId="65" applyFont="1" applyFill="1" applyBorder="1" applyAlignment="1" applyProtection="1">
      <alignment horizontal="center" vertical="top" wrapText="1"/>
      <protection/>
    </xf>
    <xf numFmtId="0" fontId="0" fillId="20" borderId="83" xfId="65" applyFont="1" applyFill="1" applyBorder="1" applyAlignment="1" applyProtection="1">
      <alignment horizontal="center" vertical="top" wrapText="1"/>
      <protection/>
    </xf>
    <xf numFmtId="0" fontId="37" fillId="0" borderId="0" xfId="65" applyFont="1" applyFill="1" applyBorder="1" applyAlignment="1" applyProtection="1">
      <alignment horizontal="center" vertical="center" wrapText="1"/>
      <protection/>
    </xf>
    <xf numFmtId="0" fontId="37" fillId="0" borderId="36" xfId="65" applyFont="1" applyFill="1" applyBorder="1" applyAlignment="1" applyProtection="1">
      <alignment horizontal="center" vertical="center" wrapText="1"/>
      <protection/>
    </xf>
    <xf numFmtId="0" fontId="37" fillId="0" borderId="23" xfId="65" applyFont="1" applyBorder="1" applyAlignment="1" applyProtection="1">
      <alignment horizontal="center" vertical="center"/>
      <protection/>
    </xf>
    <xf numFmtId="0" fontId="37" fillId="0" borderId="29" xfId="65" applyFont="1" applyFill="1" applyBorder="1" applyAlignment="1" applyProtection="1">
      <alignment horizontal="center" vertical="center" wrapText="1"/>
      <protection/>
    </xf>
    <xf numFmtId="0" fontId="37" fillId="0" borderId="41" xfId="65" applyFont="1" applyFill="1" applyBorder="1" applyAlignment="1" applyProtection="1">
      <alignment horizontal="center" vertical="center" wrapText="1"/>
      <protection/>
    </xf>
    <xf numFmtId="0" fontId="0" fillId="21" borderId="35" xfId="65" applyFont="1" applyFill="1" applyBorder="1" applyAlignment="1" applyProtection="1">
      <alignment horizontal="center" vertical="center" wrapText="1"/>
      <protection/>
    </xf>
    <xf numFmtId="0" fontId="37" fillId="0" borderId="36" xfId="65" applyFont="1" applyBorder="1" applyAlignment="1" applyProtection="1">
      <alignment horizontal="center"/>
      <protection/>
    </xf>
    <xf numFmtId="1" fontId="37" fillId="0" borderId="37" xfId="65" applyNumberFormat="1" applyFont="1" applyFill="1" applyBorder="1" applyAlignment="1" applyProtection="1">
      <alignment vertical="top" wrapText="1"/>
      <protection/>
    </xf>
    <xf numFmtId="1" fontId="37" fillId="0" borderId="0" xfId="65" applyNumberFormat="1" applyFont="1" applyFill="1" applyBorder="1" applyAlignment="1" applyProtection="1">
      <alignment horizontal="center" vertical="top" wrapText="1"/>
      <protection/>
    </xf>
    <xf numFmtId="0" fontId="37" fillId="0" borderId="19" xfId="65" applyFont="1" applyFill="1" applyBorder="1" applyAlignment="1" applyProtection="1">
      <alignment vertical="top" wrapText="1"/>
      <protection/>
    </xf>
    <xf numFmtId="0" fontId="37" fillId="0" borderId="37" xfId="65" applyFont="1" applyBorder="1" applyAlignment="1" applyProtection="1">
      <alignment/>
      <protection/>
    </xf>
    <xf numFmtId="1" fontId="37" fillId="0" borderId="0" xfId="65" applyNumberFormat="1" applyFont="1" applyBorder="1" applyAlignment="1" applyProtection="1">
      <alignment/>
      <protection/>
    </xf>
    <xf numFmtId="0" fontId="37" fillId="0" borderId="23" xfId="65" applyFont="1" applyBorder="1" applyAlignment="1" applyProtection="1">
      <alignment/>
      <protection/>
    </xf>
    <xf numFmtId="0" fontId="37" fillId="0" borderId="37" xfId="65" applyFont="1" applyFill="1" applyBorder="1" applyAlignment="1" applyProtection="1">
      <alignment vertical="top" wrapText="1"/>
      <protection/>
    </xf>
    <xf numFmtId="0" fontId="37" fillId="0" borderId="0" xfId="65" applyFont="1" applyFill="1" applyBorder="1" applyAlignment="1" applyProtection="1">
      <alignment horizontal="center" vertical="top" wrapText="1"/>
      <protection/>
    </xf>
    <xf numFmtId="0" fontId="37" fillId="0" borderId="0" xfId="65" applyFont="1" applyBorder="1" applyAlignment="1" applyProtection="1">
      <alignment/>
      <protection/>
    </xf>
    <xf numFmtId="0" fontId="37" fillId="0" borderId="37" xfId="65" applyFont="1" applyFill="1" applyBorder="1" applyAlignment="1" applyProtection="1">
      <alignment horizontal="left" vertical="top" wrapText="1"/>
      <protection/>
    </xf>
    <xf numFmtId="2" fontId="37" fillId="0" borderId="0" xfId="65" applyNumberFormat="1" applyFont="1" applyFill="1" applyBorder="1" applyAlignment="1" applyProtection="1">
      <alignment horizontal="center" vertical="top" wrapText="1"/>
      <protection/>
    </xf>
    <xf numFmtId="0" fontId="37" fillId="0" borderId="19" xfId="65" applyFont="1" applyFill="1" applyBorder="1" applyAlignment="1" applyProtection="1">
      <alignment horizontal="left" vertical="top" wrapText="1"/>
      <protection/>
    </xf>
    <xf numFmtId="0" fontId="37" fillId="0" borderId="37" xfId="65" applyFont="1" applyFill="1" applyBorder="1" applyAlignment="1" applyProtection="1">
      <alignment/>
      <protection/>
    </xf>
    <xf numFmtId="2" fontId="37" fillId="0" borderId="0" xfId="65" applyNumberFormat="1" applyFont="1" applyFill="1" applyBorder="1" applyAlignment="1" applyProtection="1">
      <alignment/>
      <protection/>
    </xf>
    <xf numFmtId="0" fontId="37" fillId="0" borderId="0" xfId="65" applyFont="1" applyFill="1" applyBorder="1" applyAlignment="1" applyProtection="1">
      <alignment/>
      <protection/>
    </xf>
    <xf numFmtId="0" fontId="37" fillId="0" borderId="23" xfId="65" applyFont="1" applyFill="1" applyBorder="1" applyAlignment="1" applyProtection="1">
      <alignment/>
      <protection/>
    </xf>
    <xf numFmtId="0" fontId="37" fillId="0" borderId="0" xfId="65" applyFont="1" applyFill="1" applyBorder="1" applyAlignment="1" applyProtection="1">
      <alignment horizontal="left" vertical="top" wrapText="1"/>
      <protection/>
    </xf>
    <xf numFmtId="0" fontId="37" fillId="0" borderId="39" xfId="65" applyFont="1" applyBorder="1" applyAlignment="1" applyProtection="1">
      <alignment horizontal="center"/>
      <protection/>
    </xf>
    <xf numFmtId="0" fontId="37" fillId="0" borderId="38" xfId="65" applyFont="1" applyBorder="1" applyAlignment="1" applyProtection="1">
      <alignment horizontal="center"/>
      <protection/>
    </xf>
    <xf numFmtId="0" fontId="0" fillId="0" borderId="40" xfId="65" applyFont="1" applyFill="1" applyBorder="1" applyAlignment="1" applyProtection="1">
      <alignment horizontal="left" vertical="top" wrapText="1"/>
      <protection/>
    </xf>
    <xf numFmtId="0" fontId="0" fillId="0" borderId="0" xfId="65" applyFont="1" applyFill="1" applyBorder="1" applyAlignment="1" applyProtection="1">
      <alignment horizontal="left" vertical="top" wrapText="1"/>
      <protection/>
    </xf>
    <xf numFmtId="0" fontId="37" fillId="0" borderId="41" xfId="65" applyFont="1" applyBorder="1" applyAlignment="1" applyProtection="1">
      <alignment horizontal="center"/>
      <protection/>
    </xf>
    <xf numFmtId="0" fontId="0" fillId="21" borderId="47" xfId="65" applyFont="1" applyFill="1" applyBorder="1" applyAlignment="1" applyProtection="1">
      <alignment horizontal="center" vertical="center" wrapText="1"/>
      <protection/>
    </xf>
    <xf numFmtId="0" fontId="0" fillId="21" borderId="84" xfId="65" applyFill="1" applyBorder="1" applyAlignment="1" applyProtection="1">
      <alignment horizontal="center" vertical="center"/>
      <protection/>
    </xf>
    <xf numFmtId="0" fontId="0" fillId="21" borderId="85" xfId="65" applyFont="1" applyFill="1" applyBorder="1" applyAlignment="1" applyProtection="1">
      <alignment horizontal="center" vertical="center" wrapText="1"/>
      <protection/>
    </xf>
    <xf numFmtId="0" fontId="0" fillId="21" borderId="83" xfId="65" applyFont="1" applyFill="1" applyBorder="1" applyAlignment="1" applyProtection="1">
      <alignment horizontal="center" vertical="center" wrapText="1"/>
      <protection/>
    </xf>
    <xf numFmtId="0" fontId="0" fillId="0" borderId="37" xfId="65" applyFont="1" applyFill="1" applyBorder="1" applyAlignment="1" applyProtection="1">
      <alignment horizontal="center" vertical="top" wrapText="1"/>
      <protection/>
    </xf>
    <xf numFmtId="0" fontId="37" fillId="0" borderId="37" xfId="65" applyFont="1" applyFill="1" applyBorder="1" applyAlignment="1" applyProtection="1">
      <alignment horizontal="center" vertical="top" wrapText="1"/>
      <protection/>
    </xf>
    <xf numFmtId="0" fontId="37" fillId="0" borderId="39" xfId="65" applyFont="1" applyFill="1" applyBorder="1" applyAlignment="1" applyProtection="1">
      <alignment horizontal="center" vertical="top" wrapText="1"/>
      <protection/>
    </xf>
    <xf numFmtId="1" fontId="37" fillId="0" borderId="23" xfId="65" applyNumberFormat="1" applyFont="1" applyBorder="1" applyAlignment="1" applyProtection="1">
      <alignment horizontal="center"/>
      <protection/>
    </xf>
    <xf numFmtId="0" fontId="37" fillId="0" borderId="36" xfId="65" applyFont="1" applyFill="1" applyBorder="1" applyAlignment="1" applyProtection="1">
      <alignment horizontal="center" vertical="top" wrapText="1"/>
      <protection/>
    </xf>
    <xf numFmtId="0" fontId="37" fillId="0" borderId="23" xfId="65" applyFont="1" applyBorder="1" applyAlignment="1" applyProtection="1">
      <alignment horizontal="center"/>
      <protection/>
    </xf>
    <xf numFmtId="1" fontId="37" fillId="0" borderId="37" xfId="65" applyNumberFormat="1" applyFont="1" applyFill="1" applyBorder="1" applyAlignment="1" applyProtection="1">
      <alignment horizontal="center" vertical="top" wrapText="1"/>
      <protection/>
    </xf>
    <xf numFmtId="1" fontId="37" fillId="0" borderId="36" xfId="65" applyNumberFormat="1" applyFont="1" applyFill="1" applyBorder="1" applyAlignment="1" applyProtection="1">
      <alignment horizontal="center" vertical="top" wrapText="1"/>
      <protection/>
    </xf>
    <xf numFmtId="0" fontId="37" fillId="0" borderId="55" xfId="65" applyFont="1" applyFill="1" applyBorder="1" applyAlignment="1" applyProtection="1">
      <alignment horizontal="center" vertical="top" wrapText="1"/>
      <protection/>
    </xf>
    <xf numFmtId="0" fontId="37" fillId="0" borderId="38" xfId="65" applyFont="1" applyFill="1" applyBorder="1" applyAlignment="1" applyProtection="1">
      <alignment horizontal="center" vertical="top" wrapText="1"/>
      <protection/>
    </xf>
    <xf numFmtId="0" fontId="0" fillId="0" borderId="39" xfId="65" applyFont="1" applyFill="1" applyBorder="1" applyAlignment="1" applyProtection="1">
      <alignment horizontal="center" vertical="top" wrapText="1"/>
      <protection/>
    </xf>
    <xf numFmtId="0" fontId="37" fillId="0" borderId="86" xfId="65" applyFont="1" applyFill="1" applyBorder="1" applyAlignment="1" applyProtection="1">
      <alignment horizontal="center" vertical="top" wrapText="1"/>
      <protection/>
    </xf>
    <xf numFmtId="0" fontId="37" fillId="0" borderId="54" xfId="65" applyFont="1" applyFill="1" applyBorder="1" applyAlignment="1" applyProtection="1">
      <alignment horizontal="center" vertical="top" wrapText="1"/>
      <protection/>
    </xf>
    <xf numFmtId="0" fontId="0" fillId="0" borderId="36" xfId="65" applyFont="1" applyFill="1" applyBorder="1" applyAlignment="1" applyProtection="1">
      <alignment horizontal="center" vertical="top" wrapText="1"/>
      <protection/>
    </xf>
    <xf numFmtId="0" fontId="37" fillId="0" borderId="19" xfId="65" applyFont="1" applyFill="1" applyBorder="1" applyAlignment="1" applyProtection="1">
      <alignment horizontal="center" vertical="top" wrapText="1"/>
      <protection/>
    </xf>
    <xf numFmtId="0" fontId="0" fillId="0" borderId="38" xfId="65" applyFont="1" applyFill="1" applyBorder="1" applyAlignment="1" applyProtection="1">
      <alignment horizontal="center" vertical="top" wrapText="1"/>
      <protection/>
    </xf>
    <xf numFmtId="0" fontId="37" fillId="0" borderId="44" xfId="65" applyFont="1" applyFill="1" applyBorder="1" applyAlignment="1" applyProtection="1">
      <alignment horizontal="center" vertical="top" wrapText="1"/>
      <protection/>
    </xf>
    <xf numFmtId="0" fontId="37" fillId="6" borderId="86" xfId="65" applyFont="1" applyFill="1" applyBorder="1" applyAlignment="1" applyProtection="1">
      <alignment horizontal="center" vertical="top" wrapText="1"/>
      <protection/>
    </xf>
    <xf numFmtId="0" fontId="37" fillId="6" borderId="39" xfId="65" applyFont="1" applyFill="1" applyBorder="1" applyAlignment="1" applyProtection="1">
      <alignment horizontal="center" vertical="top" wrapText="1"/>
      <protection/>
    </xf>
    <xf numFmtId="0" fontId="37" fillId="6" borderId="54" xfId="65" applyFont="1" applyFill="1" applyBorder="1" applyAlignment="1" applyProtection="1">
      <alignment horizontal="center" vertical="top" wrapText="1"/>
      <protection/>
    </xf>
    <xf numFmtId="0" fontId="37" fillId="6" borderId="23" xfId="65" applyFont="1" applyFill="1" applyBorder="1" applyAlignment="1" applyProtection="1">
      <alignment horizontal="center"/>
      <protection/>
    </xf>
    <xf numFmtId="0" fontId="37" fillId="6" borderId="55" xfId="65" applyFont="1" applyFill="1" applyBorder="1" applyAlignment="1" applyProtection="1">
      <alignment horizontal="center" vertical="top" wrapText="1"/>
      <protection/>
    </xf>
    <xf numFmtId="0" fontId="37" fillId="6" borderId="38" xfId="65" applyFont="1" applyFill="1" applyBorder="1" applyAlignment="1" applyProtection="1">
      <alignment horizontal="center" vertical="top" wrapText="1"/>
      <protection/>
    </xf>
    <xf numFmtId="0" fontId="37" fillId="6" borderId="44" xfId="65" applyFont="1" applyFill="1" applyBorder="1" applyAlignment="1" applyProtection="1">
      <alignment horizontal="center" vertical="top" wrapText="1"/>
      <protection/>
    </xf>
    <xf numFmtId="0" fontId="0" fillId="0" borderId="41" xfId="65" applyFont="1" applyFill="1" applyBorder="1" applyAlignment="1" applyProtection="1">
      <alignment horizontal="center" vertical="top" wrapText="1"/>
      <protection/>
    </xf>
    <xf numFmtId="0" fontId="37" fillId="0" borderId="87" xfId="65" applyFont="1" applyFill="1" applyBorder="1" applyAlignment="1" applyProtection="1">
      <alignment horizontal="center" vertical="top" wrapText="1"/>
      <protection/>
    </xf>
    <xf numFmtId="0" fontId="37" fillId="0" borderId="41" xfId="65" applyFont="1" applyFill="1" applyBorder="1" applyAlignment="1" applyProtection="1">
      <alignment horizontal="center" vertical="top" wrapText="1"/>
      <protection/>
    </xf>
    <xf numFmtId="0" fontId="37" fillId="0" borderId="30" xfId="65" applyFont="1" applyBorder="1" applyAlignment="1" applyProtection="1">
      <alignment horizontal="center"/>
      <protection/>
    </xf>
    <xf numFmtId="9" fontId="37" fillId="0" borderId="88" xfId="73" applyFont="1" applyBorder="1" applyAlignment="1" applyProtection="1">
      <alignment horizontal="center"/>
      <protection/>
    </xf>
    <xf numFmtId="9" fontId="37" fillId="0" borderId="34" xfId="73" applyFont="1" applyBorder="1" applyAlignment="1" applyProtection="1">
      <alignment horizontal="center"/>
      <protection/>
    </xf>
    <xf numFmtId="9" fontId="37" fillId="0" borderId="11" xfId="73" applyFont="1" applyBorder="1" applyAlignment="1" applyProtection="1">
      <alignment horizontal="center"/>
      <protection/>
    </xf>
    <xf numFmtId="9" fontId="37" fillId="0" borderId="89" xfId="73" applyFont="1" applyBorder="1" applyAlignment="1" applyProtection="1">
      <alignment horizontal="center"/>
      <protection/>
    </xf>
    <xf numFmtId="0" fontId="0" fillId="0" borderId="45" xfId="65" applyBorder="1" applyProtection="1">
      <alignment/>
      <protection/>
    </xf>
    <xf numFmtId="0" fontId="8" fillId="24" borderId="0" xfId="68" applyFont="1" applyFill="1" applyProtection="1">
      <alignment/>
      <protection/>
    </xf>
    <xf numFmtId="0" fontId="8" fillId="0" borderId="0" xfId="68" applyFont="1" applyFill="1" applyProtection="1">
      <alignment/>
      <protection/>
    </xf>
    <xf numFmtId="0" fontId="8" fillId="7" borderId="0" xfId="68" applyFont="1" applyFill="1" applyProtection="1">
      <alignment/>
      <protection/>
    </xf>
    <xf numFmtId="0" fontId="32" fillId="0" borderId="0" xfId="68" applyFont="1" applyProtection="1">
      <alignment/>
      <protection/>
    </xf>
    <xf numFmtId="0" fontId="8" fillId="0" borderId="0" xfId="68" applyFont="1" applyBorder="1" applyProtection="1">
      <alignment/>
      <protection/>
    </xf>
    <xf numFmtId="0" fontId="8" fillId="0" borderId="90" xfId="68" applyFont="1" applyFill="1" applyBorder="1" applyProtection="1">
      <alignment/>
      <protection/>
    </xf>
    <xf numFmtId="0" fontId="8" fillId="0" borderId="16" xfId="68" applyFont="1" applyFill="1" applyBorder="1" applyProtection="1">
      <alignment/>
      <protection/>
    </xf>
    <xf numFmtId="0" fontId="8" fillId="0" borderId="38" xfId="68" applyFont="1" applyFill="1" applyBorder="1" applyProtection="1">
      <alignment/>
      <protection/>
    </xf>
    <xf numFmtId="168" fontId="8" fillId="7" borderId="16" xfId="68" applyNumberFormat="1" applyFont="1" applyFill="1" applyBorder="1" applyProtection="1">
      <alignment/>
      <protection/>
    </xf>
    <xf numFmtId="0" fontId="24" fillId="0" borderId="29" xfId="68" applyFont="1" applyFill="1" applyBorder="1" applyProtection="1">
      <alignment/>
      <protection/>
    </xf>
    <xf numFmtId="0" fontId="8" fillId="0" borderId="50" xfId="68" applyFont="1" applyBorder="1" applyProtection="1">
      <alignment/>
      <protection/>
    </xf>
    <xf numFmtId="0" fontId="8" fillId="0" borderId="50" xfId="68" applyFont="1" applyFill="1" applyBorder="1" applyAlignment="1" applyProtection="1">
      <alignment horizontal="center"/>
      <protection/>
    </xf>
    <xf numFmtId="0" fontId="8" fillId="0" borderId="43" xfId="68" applyFont="1" applyFill="1" applyBorder="1" applyAlignment="1" applyProtection="1">
      <alignment horizontal="center"/>
      <protection/>
    </xf>
    <xf numFmtId="0" fontId="0" fillId="0" borderId="0" xfId="68" applyFont="1" applyFill="1" applyBorder="1" applyProtection="1">
      <alignment/>
      <protection/>
    </xf>
    <xf numFmtId="2" fontId="8" fillId="0" borderId="0" xfId="68" applyNumberFormat="1" applyFont="1" applyFill="1" applyBorder="1" applyAlignment="1" applyProtection="1">
      <alignment horizontal="center"/>
      <protection/>
    </xf>
    <xf numFmtId="0" fontId="8" fillId="0" borderId="19" xfId="68" applyFont="1" applyFill="1" applyBorder="1" applyAlignment="1" applyProtection="1">
      <alignment horizontal="center"/>
      <protection/>
    </xf>
    <xf numFmtId="0" fontId="8" fillId="0" borderId="0" xfId="68" applyFont="1" applyFill="1" applyBorder="1" applyAlignment="1" applyProtection="1">
      <alignment horizontal="center"/>
      <protection/>
    </xf>
    <xf numFmtId="2" fontId="8" fillId="0" borderId="0" xfId="68" applyNumberFormat="1" applyFont="1" applyAlignment="1" applyProtection="1">
      <alignment horizontal="center"/>
      <protection/>
    </xf>
    <xf numFmtId="2" fontId="8" fillId="0" borderId="19" xfId="68" applyNumberFormat="1" applyFont="1" applyBorder="1" applyAlignment="1" applyProtection="1">
      <alignment horizontal="center"/>
      <protection/>
    </xf>
    <xf numFmtId="0" fontId="8" fillId="0" borderId="0" xfId="68" applyFont="1" applyAlignment="1" applyProtection="1">
      <alignment horizontal="center"/>
      <protection/>
    </xf>
    <xf numFmtId="0" fontId="8" fillId="0" borderId="19" xfId="68" applyFont="1" applyBorder="1" applyAlignment="1" applyProtection="1">
      <alignment horizontal="center"/>
      <protection/>
    </xf>
    <xf numFmtId="0" fontId="0" fillId="0" borderId="91" xfId="68" applyFont="1" applyFill="1" applyBorder="1" applyProtection="1">
      <alignment/>
      <protection/>
    </xf>
    <xf numFmtId="2" fontId="8" fillId="0" borderId="91" xfId="68" applyNumberFormat="1" applyFont="1" applyFill="1" applyBorder="1" applyAlignment="1" applyProtection="1">
      <alignment horizontal="center"/>
      <protection/>
    </xf>
    <xf numFmtId="0" fontId="8" fillId="0" borderId="44" xfId="68" applyFont="1" applyFill="1" applyBorder="1" applyAlignment="1" applyProtection="1">
      <alignment horizontal="center"/>
      <protection/>
    </xf>
    <xf numFmtId="0" fontId="8" fillId="0" borderId="91" xfId="68" applyFont="1" applyFill="1" applyBorder="1" applyAlignment="1" applyProtection="1">
      <alignment horizontal="center"/>
      <protection/>
    </xf>
    <xf numFmtId="0" fontId="8" fillId="0" borderId="91" xfId="68" applyFont="1" applyBorder="1" applyAlignment="1" applyProtection="1">
      <alignment horizontal="center"/>
      <protection/>
    </xf>
    <xf numFmtId="2" fontId="8" fillId="0" borderId="44" xfId="68" applyNumberFormat="1" applyFont="1" applyBorder="1" applyAlignment="1" applyProtection="1">
      <alignment horizontal="center"/>
      <protection/>
    </xf>
    <xf numFmtId="0" fontId="8" fillId="0" borderId="44" xfId="68" applyFont="1" applyBorder="1" applyAlignment="1" applyProtection="1">
      <alignment horizontal="center"/>
      <protection/>
    </xf>
    <xf numFmtId="0" fontId="8" fillId="0" borderId="0" xfId="68" applyFont="1" applyFill="1" applyBorder="1" applyProtection="1">
      <alignment/>
      <protection/>
    </xf>
    <xf numFmtId="0" fontId="8" fillId="0" borderId="19" xfId="68" applyFont="1" applyFill="1" applyBorder="1" applyProtection="1">
      <alignment/>
      <protection/>
    </xf>
    <xf numFmtId="0" fontId="8" fillId="0" borderId="19" xfId="68" applyFont="1" applyBorder="1" applyProtection="1">
      <alignment/>
      <protection/>
    </xf>
    <xf numFmtId="2" fontId="8" fillId="0" borderId="91" xfId="68" applyNumberFormat="1" applyFont="1" applyBorder="1" applyAlignment="1" applyProtection="1">
      <alignment horizontal="center"/>
      <protection/>
    </xf>
    <xf numFmtId="0" fontId="24" fillId="0" borderId="0" xfId="69" applyFont="1" applyBorder="1" applyProtection="1">
      <alignment/>
      <protection/>
    </xf>
    <xf numFmtId="0" fontId="53" fillId="0" borderId="0" xfId="69" applyFont="1" applyBorder="1" applyProtection="1">
      <alignment/>
      <protection/>
    </xf>
    <xf numFmtId="0" fontId="8" fillId="0" borderId="0" xfId="69" applyFont="1" applyFill="1" applyAlignment="1" applyProtection="1">
      <alignment horizontal="center" vertical="top" wrapText="1"/>
      <protection/>
    </xf>
    <xf numFmtId="0" fontId="52" fillId="0" borderId="0" xfId="69" applyFont="1" applyFill="1" applyAlignment="1" applyProtection="1">
      <alignment horizontal="center" vertical="top" wrapText="1"/>
      <protection/>
    </xf>
    <xf numFmtId="0" fontId="1" fillId="0" borderId="0" xfId="69" applyProtection="1">
      <alignment/>
      <protection/>
    </xf>
    <xf numFmtId="0" fontId="39" fillId="21" borderId="90" xfId="69" applyFont="1" applyFill="1" applyBorder="1" applyProtection="1">
      <alignment/>
      <protection/>
    </xf>
    <xf numFmtId="0" fontId="0" fillId="27" borderId="0" xfId="65" applyFill="1" applyBorder="1" applyAlignment="1" applyProtection="1">
      <alignment horizontal="left" vertical="center"/>
      <protection/>
    </xf>
    <xf numFmtId="3" fontId="1" fillId="0" borderId="16" xfId="69" applyNumberFormat="1" applyFill="1" applyBorder="1" applyAlignment="1" applyProtection="1">
      <alignment horizontal="center"/>
      <protection/>
    </xf>
    <xf numFmtId="0" fontId="1" fillId="0" borderId="0" xfId="69" applyFill="1" applyProtection="1">
      <alignment/>
      <protection/>
    </xf>
    <xf numFmtId="0" fontId="39" fillId="0" borderId="0" xfId="69" applyFont="1" applyFill="1" applyBorder="1" applyProtection="1">
      <alignment/>
      <protection/>
    </xf>
    <xf numFmtId="0" fontId="1" fillId="0" borderId="0" xfId="69" applyFill="1" applyBorder="1" applyAlignment="1" applyProtection="1">
      <alignment horizontal="center"/>
      <protection/>
    </xf>
    <xf numFmtId="0" fontId="39" fillId="21" borderId="16" xfId="69" applyFont="1" applyFill="1" applyBorder="1" applyProtection="1">
      <alignment/>
      <protection/>
    </xf>
    <xf numFmtId="0" fontId="39" fillId="21" borderId="16" xfId="65" applyFont="1" applyFill="1" applyBorder="1" applyAlignment="1" applyProtection="1">
      <alignment horizontal="center"/>
      <protection/>
    </xf>
    <xf numFmtId="0" fontId="39" fillId="21" borderId="92" xfId="69" applyFont="1" applyFill="1" applyBorder="1" applyAlignment="1" applyProtection="1">
      <alignment horizontal="center"/>
      <protection/>
    </xf>
    <xf numFmtId="0" fontId="1" fillId="20" borderId="16" xfId="69" applyFill="1" applyBorder="1" applyAlignment="1" applyProtection="1">
      <alignment horizontal="left"/>
      <protection/>
    </xf>
    <xf numFmtId="0" fontId="1" fillId="0" borderId="0" xfId="69" applyAlignment="1" applyProtection="1">
      <alignment horizontal="center"/>
      <protection/>
    </xf>
    <xf numFmtId="166" fontId="0" fillId="27" borderId="16" xfId="65" applyNumberFormat="1" applyFill="1" applyBorder="1" applyAlignment="1" applyProtection="1">
      <alignment horizontal="center"/>
      <protection/>
    </xf>
    <xf numFmtId="37" fontId="1" fillId="27" borderId="92" xfId="42" applyNumberFormat="1" applyFont="1" applyFill="1" applyBorder="1" applyAlignment="1" applyProtection="1">
      <alignment horizontal="center"/>
      <protection/>
    </xf>
    <xf numFmtId="0" fontId="1" fillId="20" borderId="90" xfId="69" applyFill="1" applyBorder="1" applyAlignment="1" applyProtection="1">
      <alignment horizontal="left"/>
      <protection/>
    </xf>
    <xf numFmtId="166" fontId="0" fillId="27" borderId="92" xfId="65" applyNumberFormat="1" applyFill="1" applyBorder="1" applyAlignment="1" applyProtection="1">
      <alignment horizontal="center"/>
      <protection/>
    </xf>
    <xf numFmtId="0" fontId="39" fillId="21" borderId="16" xfId="69" applyFont="1" applyFill="1" applyBorder="1" applyAlignment="1" applyProtection="1">
      <alignment horizontal="left"/>
      <protection/>
    </xf>
    <xf numFmtId="37" fontId="39" fillId="27" borderId="16" xfId="42" applyNumberFormat="1" applyFont="1" applyFill="1" applyBorder="1" applyAlignment="1" applyProtection="1">
      <alignment horizontal="center"/>
      <protection/>
    </xf>
    <xf numFmtId="0" fontId="1" fillId="0" borderId="0" xfId="69" applyFill="1" applyBorder="1" applyAlignment="1" applyProtection="1">
      <alignment horizontal="left"/>
      <protection/>
    </xf>
    <xf numFmtId="0" fontId="39" fillId="21" borderId="39" xfId="69" applyFont="1" applyFill="1" applyBorder="1" applyAlignment="1" applyProtection="1">
      <alignment horizontal="center"/>
      <protection/>
    </xf>
    <xf numFmtId="0" fontId="39" fillId="21" borderId="16" xfId="69" applyFont="1" applyFill="1" applyBorder="1" applyAlignment="1" applyProtection="1">
      <alignment horizontal="center"/>
      <protection/>
    </xf>
    <xf numFmtId="0" fontId="1" fillId="20" borderId="16" xfId="69" applyFill="1" applyBorder="1" applyProtection="1">
      <alignment/>
      <protection/>
    </xf>
    <xf numFmtId="37" fontId="1" fillId="27" borderId="16" xfId="42" applyNumberFormat="1" applyFont="1" applyFill="1" applyBorder="1" applyAlignment="1" applyProtection="1">
      <alignment horizontal="center"/>
      <protection/>
    </xf>
    <xf numFmtId="7" fontId="1" fillId="27" borderId="16" xfId="48" applyNumberFormat="1" applyFont="1" applyFill="1" applyBorder="1" applyAlignment="1" applyProtection="1">
      <alignment horizontal="center"/>
      <protection/>
    </xf>
    <xf numFmtId="37" fontId="39" fillId="27" borderId="16" xfId="46" applyNumberFormat="1" applyFont="1" applyFill="1" applyBorder="1" applyAlignment="1" applyProtection="1">
      <alignment horizontal="center"/>
      <protection/>
    </xf>
    <xf numFmtId="7" fontId="39" fillId="27" borderId="16" xfId="48" applyNumberFormat="1" applyFont="1" applyFill="1" applyBorder="1" applyAlignment="1" applyProtection="1">
      <alignment horizontal="center"/>
      <protection/>
    </xf>
    <xf numFmtId="0" fontId="32" fillId="0" borderId="0" xfId="0" applyFont="1" applyAlignment="1" applyProtection="1">
      <alignment/>
      <protection/>
    </xf>
    <xf numFmtId="0" fontId="0" fillId="24" borderId="0" xfId="0" applyFill="1" applyAlignment="1" applyProtection="1">
      <alignment/>
      <protection/>
    </xf>
    <xf numFmtId="0" fontId="0" fillId="7" borderId="0" xfId="0" applyFont="1" applyFill="1" applyAlignment="1" applyProtection="1">
      <alignment/>
      <protection/>
    </xf>
    <xf numFmtId="0" fontId="0" fillId="7" borderId="0" xfId="0" applyFill="1" applyAlignment="1" applyProtection="1">
      <alignment/>
      <protection/>
    </xf>
    <xf numFmtId="0" fontId="27" fillId="0" borderId="16" xfId="0" applyFont="1" applyBorder="1" applyAlignment="1" applyProtection="1">
      <alignment/>
      <protection/>
    </xf>
    <xf numFmtId="0" fontId="39" fillId="0" borderId="39" xfId="0" applyFont="1" applyBorder="1" applyAlignment="1" applyProtection="1">
      <alignment horizontal="center"/>
      <protection/>
    </xf>
    <xf numFmtId="166" fontId="0" fillId="0" borderId="16" xfId="0" applyNumberFormat="1" applyFill="1" applyBorder="1" applyAlignment="1" applyProtection="1">
      <alignment/>
      <protection/>
    </xf>
    <xf numFmtId="166" fontId="0" fillId="0" borderId="16" xfId="0" applyNumberFormat="1" applyBorder="1" applyAlignment="1" applyProtection="1">
      <alignment/>
      <protection/>
    </xf>
    <xf numFmtId="0" fontId="0" fillId="0" borderId="16" xfId="0" applyBorder="1" applyAlignment="1" applyProtection="1">
      <alignment/>
      <protection/>
    </xf>
    <xf numFmtId="0" fontId="27" fillId="0" borderId="90" xfId="0" applyFont="1" applyBorder="1" applyAlignment="1" applyProtection="1">
      <alignment/>
      <protection/>
    </xf>
    <xf numFmtId="0" fontId="0" fillId="0" borderId="92" xfId="0" applyBorder="1" applyAlignment="1" applyProtection="1">
      <alignment/>
      <protection/>
    </xf>
    <xf numFmtId="1" fontId="0" fillId="0" borderId="0" xfId="0" applyNumberFormat="1" applyAlignment="1" applyProtection="1">
      <alignment/>
      <protection/>
    </xf>
    <xf numFmtId="0" fontId="27" fillId="0" borderId="16" xfId="0" applyFont="1" applyFill="1" applyBorder="1" applyAlignment="1" applyProtection="1">
      <alignment/>
      <protection/>
    </xf>
    <xf numFmtId="1" fontId="0" fillId="0" borderId="38" xfId="0" applyNumberFormat="1" applyBorder="1" applyAlignment="1" applyProtection="1">
      <alignment/>
      <protection/>
    </xf>
    <xf numFmtId="0" fontId="40" fillId="0" borderId="0" xfId="0" applyFont="1" applyAlignment="1" applyProtection="1">
      <alignment/>
      <protection/>
    </xf>
    <xf numFmtId="0" fontId="32" fillId="0" borderId="0" xfId="0" applyFont="1" applyAlignment="1" applyProtection="1">
      <alignment/>
      <protection/>
    </xf>
    <xf numFmtId="170" fontId="8" fillId="0" borderId="16" xfId="42" applyNumberFormat="1" applyFont="1" applyFill="1" applyBorder="1" applyAlignment="1" applyProtection="1">
      <alignment/>
      <protection/>
    </xf>
    <xf numFmtId="170" fontId="8" fillId="0" borderId="16" xfId="42" applyNumberFormat="1" applyFont="1" applyBorder="1" applyAlignment="1" applyProtection="1">
      <alignment/>
      <protection/>
    </xf>
    <xf numFmtId="43" fontId="40" fillId="0" borderId="0" xfId="0" applyNumberFormat="1" applyFont="1" applyAlignment="1" applyProtection="1">
      <alignment/>
      <protection/>
    </xf>
    <xf numFmtId="170" fontId="0" fillId="0" borderId="0" xfId="42" applyNumberFormat="1" applyFont="1" applyAlignment="1" applyProtection="1">
      <alignment/>
      <protection/>
    </xf>
    <xf numFmtId="0" fontId="27" fillId="7" borderId="16" xfId="0" applyFont="1" applyFill="1" applyBorder="1" applyAlignment="1" applyProtection="1">
      <alignment/>
      <protection/>
    </xf>
    <xf numFmtId="0" fontId="0" fillId="0" borderId="90" xfId="0" applyFont="1" applyBorder="1" applyAlignment="1" applyProtection="1">
      <alignment/>
      <protection/>
    </xf>
    <xf numFmtId="0" fontId="0" fillId="0" borderId="92" xfId="0" applyBorder="1" applyAlignment="1" applyProtection="1">
      <alignment/>
      <protection/>
    </xf>
    <xf numFmtId="0" fontId="0" fillId="7" borderId="16" xfId="0" applyFill="1" applyBorder="1" applyAlignment="1" applyProtection="1">
      <alignment/>
      <protection/>
    </xf>
    <xf numFmtId="43" fontId="0" fillId="0" borderId="16" xfId="0" applyNumberFormat="1" applyBorder="1" applyAlignment="1" applyProtection="1">
      <alignment/>
      <protection/>
    </xf>
    <xf numFmtId="0" fontId="0" fillId="0" borderId="0" xfId="0" applyFill="1" applyBorder="1" applyAlignment="1" applyProtection="1">
      <alignment/>
      <protection/>
    </xf>
    <xf numFmtId="0" fontId="0" fillId="0" borderId="37" xfId="0" applyBorder="1" applyAlignment="1" applyProtection="1">
      <alignment/>
      <protection/>
    </xf>
    <xf numFmtId="0" fontId="0" fillId="0" borderId="29" xfId="0" applyFill="1" applyBorder="1" applyAlignment="1" applyProtection="1">
      <alignment/>
      <protection/>
    </xf>
    <xf numFmtId="0" fontId="0" fillId="0" borderId="0" xfId="0" applyFill="1" applyAlignment="1" applyProtection="1">
      <alignment/>
      <protection/>
    </xf>
    <xf numFmtId="166" fontId="0" fillId="0" borderId="20" xfId="0" applyNumberFormat="1" applyBorder="1" applyAlignment="1" applyProtection="1">
      <alignment/>
      <protection/>
    </xf>
    <xf numFmtId="0" fontId="0" fillId="0" borderId="20" xfId="0" applyFill="1" applyBorder="1" applyAlignment="1" applyProtection="1">
      <alignment/>
      <protection/>
    </xf>
    <xf numFmtId="166" fontId="0" fillId="7" borderId="20" xfId="0" applyNumberFormat="1" applyFill="1" applyBorder="1" applyAlignment="1" applyProtection="1">
      <alignment/>
      <protection/>
    </xf>
    <xf numFmtId="170" fontId="0" fillId="0" borderId="16" xfId="0" applyNumberFormat="1" applyFill="1" applyBorder="1" applyAlignment="1" applyProtection="1">
      <alignment/>
      <protection/>
    </xf>
    <xf numFmtId="0" fontId="0" fillId="0" borderId="39" xfId="0" applyBorder="1" applyAlignment="1" applyProtection="1">
      <alignment/>
      <protection/>
    </xf>
    <xf numFmtId="0" fontId="42" fillId="0" borderId="39" xfId="0" applyFont="1" applyBorder="1" applyAlignment="1" applyProtection="1">
      <alignment/>
      <protection/>
    </xf>
    <xf numFmtId="0" fontId="42" fillId="0" borderId="39" xfId="0" applyFont="1" applyFill="1" applyBorder="1" applyAlignment="1" applyProtection="1">
      <alignment/>
      <protection/>
    </xf>
    <xf numFmtId="0" fontId="43" fillId="0" borderId="90" xfId="0" applyFont="1" applyBorder="1" applyAlignment="1" applyProtection="1">
      <alignment vertical="top" wrapText="1"/>
      <protection/>
    </xf>
    <xf numFmtId="0" fontId="41" fillId="0" borderId="16" xfId="0" applyFont="1" applyFill="1" applyBorder="1" applyAlignment="1" applyProtection="1">
      <alignment vertical="top" wrapText="1"/>
      <protection/>
    </xf>
    <xf numFmtId="1" fontId="41" fillId="0" borderId="16" xfId="0" applyNumberFormat="1" applyFont="1" applyFill="1" applyBorder="1" applyAlignment="1" applyProtection="1">
      <alignment vertical="top" wrapText="1"/>
      <protection/>
    </xf>
    <xf numFmtId="0" fontId="43" fillId="0" borderId="16" xfId="0" applyFont="1" applyBorder="1" applyAlignment="1" applyProtection="1">
      <alignment vertical="top" wrapText="1"/>
      <protection/>
    </xf>
    <xf numFmtId="0" fontId="41" fillId="0" borderId="38" xfId="0" applyFont="1" applyBorder="1" applyAlignment="1" applyProtection="1">
      <alignment vertical="top" wrapText="1"/>
      <protection/>
    </xf>
    <xf numFmtId="1" fontId="41" fillId="0" borderId="38" xfId="0" applyNumberFormat="1" applyFont="1" applyBorder="1" applyAlignment="1" applyProtection="1">
      <alignment vertical="top" wrapText="1"/>
      <protection/>
    </xf>
    <xf numFmtId="0" fontId="0" fillId="0" borderId="16" xfId="0" applyFill="1" applyBorder="1" applyAlignment="1" applyProtection="1">
      <alignment/>
      <protection/>
    </xf>
    <xf numFmtId="0" fontId="42" fillId="7" borderId="16" xfId="0" applyFont="1" applyFill="1" applyBorder="1" applyAlignment="1" applyProtection="1">
      <alignment vertical="top" wrapText="1"/>
      <protection/>
    </xf>
    <xf numFmtId="168" fontId="41" fillId="7" borderId="16" xfId="0" applyNumberFormat="1" applyFont="1" applyFill="1" applyBorder="1" applyAlignment="1" applyProtection="1">
      <alignment vertical="top" wrapText="1"/>
      <protection/>
    </xf>
    <xf numFmtId="0" fontId="0" fillId="0" borderId="16" xfId="0" applyFont="1" applyFill="1" applyBorder="1" applyAlignment="1" applyProtection="1">
      <alignment/>
      <protection/>
    </xf>
    <xf numFmtId="166" fontId="0" fillId="7" borderId="16" xfId="0" applyNumberFormat="1" applyFill="1" applyBorder="1" applyAlignment="1" applyProtection="1">
      <alignment horizontal="center"/>
      <protection/>
    </xf>
    <xf numFmtId="0" fontId="46" fillId="0" borderId="0" xfId="0" applyFont="1" applyFill="1" applyAlignment="1" applyProtection="1">
      <alignment horizontal="right"/>
      <protection/>
    </xf>
    <xf numFmtId="0" fontId="46" fillId="0" borderId="0" xfId="0" applyFont="1" applyFill="1" applyAlignment="1" applyProtection="1">
      <alignment/>
      <protection/>
    </xf>
    <xf numFmtId="0" fontId="41" fillId="0" borderId="16" xfId="0" applyFont="1" applyBorder="1" applyAlignment="1" applyProtection="1">
      <alignment vertical="top" wrapText="1"/>
      <protection/>
    </xf>
    <xf numFmtId="166" fontId="0" fillId="0" borderId="16" xfId="0" applyNumberFormat="1" applyFill="1" applyBorder="1" applyAlignment="1" applyProtection="1">
      <alignment horizontal="center"/>
      <protection/>
    </xf>
    <xf numFmtId="0" fontId="0" fillId="0" borderId="0" xfId="0" applyFont="1" applyFill="1" applyBorder="1" applyAlignment="1" applyProtection="1">
      <alignment/>
      <protection/>
    </xf>
    <xf numFmtId="166" fontId="46" fillId="0" borderId="0" xfId="0" applyNumberFormat="1" applyFont="1" applyFill="1" applyAlignment="1" applyProtection="1">
      <alignment/>
      <protection/>
    </xf>
    <xf numFmtId="0" fontId="46" fillId="0" borderId="0" xfId="0" applyFont="1" applyAlignment="1" applyProtection="1">
      <alignment/>
      <protection/>
    </xf>
    <xf numFmtId="0" fontId="43" fillId="0" borderId="16" xfId="0" applyFont="1" applyFill="1" applyBorder="1" applyAlignment="1" applyProtection="1">
      <alignment vertical="top" wrapText="1"/>
      <protection/>
    </xf>
    <xf numFmtId="0" fontId="41" fillId="0" borderId="16" xfId="0" applyFont="1" applyBorder="1" applyAlignment="1" applyProtection="1">
      <alignment/>
      <protection/>
    </xf>
    <xf numFmtId="0" fontId="36" fillId="0" borderId="0" xfId="0" applyFont="1" applyAlignment="1" applyProtection="1">
      <alignment/>
      <protection/>
    </xf>
    <xf numFmtId="0" fontId="36" fillId="0" borderId="0" xfId="0" applyFont="1" applyFill="1" applyAlignment="1" applyProtection="1">
      <alignment/>
      <protection/>
    </xf>
    <xf numFmtId="0" fontId="0" fillId="0" borderId="26" xfId="0" applyFill="1" applyBorder="1" applyAlignment="1" applyProtection="1">
      <alignment/>
      <protection/>
    </xf>
    <xf numFmtId="1" fontId="41" fillId="0" borderId="16" xfId="0" applyNumberFormat="1" applyFont="1" applyBorder="1" applyAlignment="1" applyProtection="1">
      <alignment vertical="top" wrapText="1"/>
      <protection/>
    </xf>
    <xf numFmtId="2" fontId="0" fillId="7" borderId="16" xfId="0" applyNumberFormat="1" applyFill="1" applyBorder="1" applyAlignment="1" applyProtection="1">
      <alignment horizontal="center"/>
      <protection/>
    </xf>
    <xf numFmtId="0" fontId="0" fillId="0" borderId="90" xfId="0" applyFill="1" applyBorder="1" applyAlignment="1" applyProtection="1">
      <alignment/>
      <protection/>
    </xf>
    <xf numFmtId="0" fontId="46" fillId="0" borderId="0" xfId="0" applyFont="1" applyFill="1" applyAlignment="1" applyProtection="1">
      <alignment/>
      <protection/>
    </xf>
    <xf numFmtId="166" fontId="0" fillId="0" borderId="26" xfId="0" applyNumberFormat="1" applyFill="1" applyBorder="1" applyAlignment="1" applyProtection="1">
      <alignment/>
      <protection/>
    </xf>
    <xf numFmtId="0" fontId="38" fillId="0" borderId="0" xfId="0" applyFont="1" applyFill="1" applyAlignment="1" applyProtection="1">
      <alignment/>
      <protection/>
    </xf>
    <xf numFmtId="2" fontId="41" fillId="7" borderId="16" xfId="0" applyNumberFormat="1" applyFont="1" applyFill="1" applyBorder="1" applyAlignment="1" applyProtection="1">
      <alignment vertical="top" wrapText="1"/>
      <protection/>
    </xf>
    <xf numFmtId="0" fontId="45" fillId="7" borderId="16" xfId="0" applyFont="1" applyFill="1" applyBorder="1" applyAlignment="1" applyProtection="1">
      <alignment vertical="top" wrapText="1"/>
      <protection/>
    </xf>
    <xf numFmtId="170" fontId="41" fillId="7" borderId="16" xfId="42" applyNumberFormat="1" applyFont="1" applyFill="1" applyBorder="1" applyAlignment="1" applyProtection="1">
      <alignment vertical="top" wrapText="1"/>
      <protection/>
    </xf>
    <xf numFmtId="0" fontId="32" fillId="0" borderId="0" xfId="0" applyFont="1" applyFill="1" applyAlignment="1" applyProtection="1">
      <alignment/>
      <protection/>
    </xf>
    <xf numFmtId="0" fontId="43" fillId="0" borderId="16" xfId="0" applyFont="1" applyBorder="1" applyAlignment="1" applyProtection="1">
      <alignment/>
      <protection/>
    </xf>
    <xf numFmtId="2" fontId="41" fillId="0" borderId="16" xfId="0" applyNumberFormat="1" applyFont="1" applyBorder="1" applyAlignment="1" applyProtection="1">
      <alignment/>
      <protection/>
    </xf>
    <xf numFmtId="2" fontId="41" fillId="7" borderId="16" xfId="0" applyNumberFormat="1" applyFont="1" applyFill="1" applyBorder="1" applyAlignment="1" applyProtection="1">
      <alignment/>
      <protection/>
    </xf>
    <xf numFmtId="0" fontId="0" fillId="0" borderId="0" xfId="0" applyFont="1" applyFill="1" applyAlignment="1" applyProtection="1">
      <alignment/>
      <protection/>
    </xf>
    <xf numFmtId="0" fontId="41" fillId="7" borderId="16" xfId="0" applyFont="1" applyFill="1" applyBorder="1" applyAlignment="1" applyProtection="1">
      <alignment/>
      <protection/>
    </xf>
    <xf numFmtId="0" fontId="0" fillId="0" borderId="0" xfId="0" applyFont="1" applyAlignment="1" applyProtection="1">
      <alignment horizontal="right"/>
      <protection/>
    </xf>
    <xf numFmtId="166" fontId="41" fillId="7" borderId="16" xfId="0" applyNumberFormat="1" applyFont="1" applyFill="1" applyBorder="1" applyAlignment="1" applyProtection="1">
      <alignment/>
      <protection/>
    </xf>
    <xf numFmtId="0" fontId="0" fillId="7" borderId="16" xfId="0" applyFont="1" applyFill="1" applyBorder="1" applyAlignment="1" applyProtection="1">
      <alignment/>
      <protection/>
    </xf>
    <xf numFmtId="0" fontId="39" fillId="0" borderId="16" xfId="0" applyFont="1" applyBorder="1" applyAlignment="1" applyProtection="1">
      <alignment/>
      <protection/>
    </xf>
    <xf numFmtId="0" fontId="39" fillId="7" borderId="16" xfId="0" applyFont="1" applyFill="1" applyBorder="1" applyAlignment="1" applyProtection="1">
      <alignment wrapText="1"/>
      <protection/>
    </xf>
    <xf numFmtId="0" fontId="27" fillId="0" borderId="0" xfId="0" applyFont="1" applyFill="1" applyAlignment="1" applyProtection="1">
      <alignment/>
      <protection/>
    </xf>
    <xf numFmtId="0" fontId="0" fillId="0" borderId="0" xfId="0" applyAlignment="1" applyProtection="1">
      <alignment vertical="top"/>
      <protection/>
    </xf>
    <xf numFmtId="0" fontId="0" fillId="0" borderId="0" xfId="0" applyFill="1" applyAlignment="1" applyProtection="1">
      <alignment vertical="top"/>
      <protection/>
    </xf>
    <xf numFmtId="0" fontId="40" fillId="0" borderId="0" xfId="0" applyFont="1" applyFill="1" applyBorder="1" applyAlignment="1" applyProtection="1">
      <alignment/>
      <protection/>
    </xf>
    <xf numFmtId="0" fontId="0" fillId="0" borderId="0" xfId="0" applyAlignment="1" applyProtection="1">
      <alignment horizontal="right"/>
      <protection/>
    </xf>
    <xf numFmtId="0" fontId="0" fillId="27" borderId="0" xfId="0" applyFill="1" applyAlignment="1" applyProtection="1">
      <alignment/>
      <protection/>
    </xf>
    <xf numFmtId="0" fontId="0" fillId="0" borderId="0" xfId="0" applyAlignment="1" applyProtection="1">
      <alignment horizontal="center"/>
      <protection/>
    </xf>
    <xf numFmtId="168" fontId="0" fillId="7" borderId="0" xfId="0" applyNumberFormat="1" applyFill="1" applyAlignment="1" applyProtection="1">
      <alignment horizontal="center"/>
      <protection/>
    </xf>
    <xf numFmtId="0" fontId="30" fillId="0" borderId="0" xfId="0" applyFont="1" applyBorder="1" applyAlignment="1" applyProtection="1">
      <alignment horizontal="left"/>
      <protection/>
    </xf>
    <xf numFmtId="0" fontId="27" fillId="0" borderId="39" xfId="0" applyFont="1" applyBorder="1" applyAlignment="1" applyProtection="1">
      <alignment wrapText="1"/>
      <protection/>
    </xf>
    <xf numFmtId="0" fontId="27" fillId="0" borderId="16" xfId="0" applyFont="1" applyBorder="1" applyAlignment="1" applyProtection="1">
      <alignment wrapText="1"/>
      <protection/>
    </xf>
    <xf numFmtId="0" fontId="0" fillId="0" borderId="0" xfId="0" applyAlignment="1" applyProtection="1">
      <alignment wrapText="1"/>
      <protection/>
    </xf>
    <xf numFmtId="167" fontId="0" fillId="0" borderId="92" xfId="0" applyNumberFormat="1" applyFill="1" applyBorder="1" applyAlignment="1" applyProtection="1">
      <alignment/>
      <protection/>
    </xf>
    <xf numFmtId="167" fontId="0" fillId="0" borderId="16" xfId="0" applyNumberFormat="1" applyFill="1" applyBorder="1" applyAlignment="1" applyProtection="1">
      <alignment/>
      <protection/>
    </xf>
    <xf numFmtId="0" fontId="0" fillId="0" borderId="93" xfId="0" applyBorder="1" applyAlignment="1" applyProtection="1">
      <alignment/>
      <protection/>
    </xf>
    <xf numFmtId="0" fontId="0" fillId="0" borderId="82" xfId="0" applyBorder="1" applyAlignment="1" applyProtection="1">
      <alignment/>
      <protection/>
    </xf>
    <xf numFmtId="0" fontId="27" fillId="0" borderId="37" xfId="0" applyFont="1" applyBorder="1" applyAlignment="1" applyProtection="1">
      <alignment horizontal="centerContinuous"/>
      <protection/>
    </xf>
    <xf numFmtId="0" fontId="0" fillId="0" borderId="0" xfId="0" applyBorder="1" applyAlignment="1" applyProtection="1">
      <alignment horizontal="centerContinuous"/>
      <protection/>
    </xf>
    <xf numFmtId="167" fontId="0" fillId="0" borderId="20" xfId="0" applyNumberFormat="1" applyFont="1" applyFill="1" applyBorder="1" applyAlignment="1" applyProtection="1">
      <alignment/>
      <protection/>
    </xf>
    <xf numFmtId="0" fontId="32" fillId="0" borderId="40" xfId="0" applyFont="1" applyFill="1" applyBorder="1" applyAlignment="1" applyProtection="1">
      <alignment/>
      <protection/>
    </xf>
    <xf numFmtId="0" fontId="0" fillId="0" borderId="0" xfId="0" applyFont="1" applyBorder="1" applyAlignment="1" applyProtection="1">
      <alignment/>
      <protection/>
    </xf>
    <xf numFmtId="166" fontId="0" fillId="0" borderId="16" xfId="0" applyNumberFormat="1" applyFill="1" applyBorder="1" applyAlignment="1" applyProtection="1">
      <alignment horizontal="right"/>
      <protection/>
    </xf>
    <xf numFmtId="0" fontId="7" fillId="0" borderId="0" xfId="0" applyFont="1" applyAlignment="1" applyProtection="1">
      <alignment horizontal="left"/>
      <protection/>
    </xf>
    <xf numFmtId="0" fontId="7" fillId="0" borderId="0" xfId="0" applyFont="1" applyAlignment="1" applyProtection="1">
      <alignment/>
      <protection/>
    </xf>
    <xf numFmtId="0" fontId="0" fillId="0" borderId="0" xfId="0" applyFill="1" applyAlignment="1" applyProtection="1">
      <alignment horizontal="center"/>
      <protection/>
    </xf>
    <xf numFmtId="0" fontId="0" fillId="0" borderId="91" xfId="0" applyBorder="1" applyAlignment="1" applyProtection="1">
      <alignment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6" xfId="0" applyBorder="1" applyAlignment="1" applyProtection="1">
      <alignment horizontal="center"/>
      <protection/>
    </xf>
    <xf numFmtId="0" fontId="0" fillId="0" borderId="16" xfId="0" applyBorder="1" applyAlignment="1" applyProtection="1">
      <alignment horizontal="center" vertical="center" wrapText="1"/>
      <protection/>
    </xf>
    <xf numFmtId="2" fontId="0" fillId="7" borderId="16" xfId="0" applyNumberFormat="1" applyFill="1" applyBorder="1" applyAlignment="1" applyProtection="1">
      <alignment horizontal="center" vertical="center" wrapText="1"/>
      <protection/>
    </xf>
    <xf numFmtId="0" fontId="0" fillId="0" borderId="16" xfId="0" applyFont="1" applyBorder="1" applyAlignment="1" applyProtection="1">
      <alignment horizontal="center"/>
      <protection/>
    </xf>
    <xf numFmtId="0" fontId="27" fillId="0" borderId="16" xfId="0" applyFont="1" applyFill="1" applyBorder="1" applyAlignment="1" applyProtection="1">
      <alignment horizontal="center" wrapText="1"/>
      <protection/>
    </xf>
    <xf numFmtId="0" fontId="27" fillId="0" borderId="39" xfId="0" applyFont="1" applyFill="1" applyBorder="1" applyAlignment="1" applyProtection="1">
      <alignment horizontal="center" wrapText="1"/>
      <protection/>
    </xf>
    <xf numFmtId="2" fontId="0" fillId="0" borderId="90" xfId="0" applyNumberFormat="1" applyFill="1" applyBorder="1" applyAlignment="1" applyProtection="1">
      <alignment/>
      <protection/>
    </xf>
    <xf numFmtId="0" fontId="28" fillId="0" borderId="16" xfId="0" applyFont="1" applyFill="1" applyBorder="1" applyAlignment="1" applyProtection="1">
      <alignment wrapText="1"/>
      <protection/>
    </xf>
    <xf numFmtId="2" fontId="0" fillId="0" borderId="0" xfId="0" applyNumberFormat="1" applyAlignment="1" applyProtection="1">
      <alignment/>
      <protection/>
    </xf>
    <xf numFmtId="0" fontId="28" fillId="0" borderId="0" xfId="0" applyFont="1" applyAlignment="1" applyProtection="1">
      <alignment/>
      <protection/>
    </xf>
    <xf numFmtId="0" fontId="0" fillId="0" borderId="0" xfId="0" applyFont="1" applyAlignment="1" applyProtection="1">
      <alignment horizontal="center"/>
      <protection/>
    </xf>
    <xf numFmtId="0" fontId="29" fillId="0" borderId="16" xfId="0" applyFont="1" applyFill="1" applyBorder="1" applyAlignment="1" applyProtection="1">
      <alignment/>
      <protection/>
    </xf>
    <xf numFmtId="0" fontId="30" fillId="0" borderId="0" xfId="0" applyFont="1" applyAlignment="1" applyProtection="1">
      <alignment/>
      <protection/>
    </xf>
    <xf numFmtId="0" fontId="0" fillId="0" borderId="82" xfId="0" applyFill="1" applyBorder="1" applyAlignment="1" applyProtection="1">
      <alignment wrapText="1"/>
      <protection/>
    </xf>
    <xf numFmtId="0" fontId="0" fillId="0" borderId="0" xfId="0" applyAlignment="1" applyProtection="1" quotePrefix="1">
      <alignment/>
      <protection/>
    </xf>
    <xf numFmtId="0" fontId="0" fillId="0" borderId="39" xfId="0" applyFont="1" applyFill="1" applyBorder="1" applyAlignment="1" applyProtection="1">
      <alignment/>
      <protection/>
    </xf>
    <xf numFmtId="0" fontId="34" fillId="0" borderId="0" xfId="0" applyFont="1" applyAlignment="1" applyProtection="1">
      <alignment/>
      <protection/>
    </xf>
    <xf numFmtId="0" fontId="30" fillId="0" borderId="0" xfId="0" applyFont="1" applyFill="1" applyAlignment="1" applyProtection="1">
      <alignment/>
      <protection/>
    </xf>
    <xf numFmtId="0" fontId="35" fillId="0" borderId="0" xfId="0" applyFont="1" applyAlignment="1" applyProtection="1">
      <alignment/>
      <protection/>
    </xf>
    <xf numFmtId="2" fontId="0" fillId="7" borderId="16" xfId="0" applyNumberFormat="1" applyFill="1" applyBorder="1" applyAlignment="1" applyProtection="1">
      <alignment/>
      <protection/>
    </xf>
    <xf numFmtId="0" fontId="35" fillId="21" borderId="90" xfId="0" applyFont="1" applyFill="1" applyBorder="1" applyAlignment="1" applyProtection="1">
      <alignment/>
      <protection/>
    </xf>
    <xf numFmtId="0" fontId="0" fillId="21" borderId="82" xfId="0" applyFill="1" applyBorder="1" applyAlignment="1" applyProtection="1">
      <alignment/>
      <protection/>
    </xf>
    <xf numFmtId="0" fontId="0" fillId="21" borderId="92" xfId="0" applyFill="1" applyBorder="1" applyAlignment="1" applyProtection="1">
      <alignment/>
      <protection/>
    </xf>
    <xf numFmtId="0" fontId="0" fillId="0" borderId="16" xfId="0" applyFont="1" applyFill="1" applyBorder="1" applyAlignment="1" applyProtection="1">
      <alignment horizontal="right"/>
      <protection/>
    </xf>
    <xf numFmtId="0" fontId="0" fillId="0" borderId="17" xfId="0" applyFont="1" applyFill="1" applyBorder="1" applyAlignment="1" applyProtection="1">
      <alignment horizontal="right"/>
      <protection/>
    </xf>
    <xf numFmtId="1" fontId="0" fillId="7" borderId="17" xfId="0" applyNumberFormat="1" applyFill="1" applyBorder="1" applyAlignment="1" applyProtection="1">
      <alignment/>
      <protection/>
    </xf>
    <xf numFmtId="0" fontId="0" fillId="0" borderId="16" xfId="0" applyBorder="1" applyAlignment="1" applyProtection="1">
      <alignment horizontal="right"/>
      <protection/>
    </xf>
    <xf numFmtId="0" fontId="0" fillId="7" borderId="17" xfId="0" applyFill="1" applyBorder="1" applyAlignment="1" applyProtection="1">
      <alignment/>
      <protection/>
    </xf>
    <xf numFmtId="0" fontId="0" fillId="0" borderId="38" xfId="0" applyFill="1" applyBorder="1" applyAlignment="1" applyProtection="1">
      <alignment horizontal="right"/>
      <protection/>
    </xf>
    <xf numFmtId="1" fontId="0" fillId="0" borderId="0" xfId="0" applyNumberFormat="1" applyAlignment="1" applyProtection="1">
      <alignment horizontal="center"/>
      <protection/>
    </xf>
    <xf numFmtId="0" fontId="27" fillId="0" borderId="0" xfId="0" applyFont="1" applyAlignment="1" applyProtection="1">
      <alignment horizontal="right"/>
      <protection/>
    </xf>
    <xf numFmtId="0" fontId="39" fillId="0" borderId="16" xfId="0" applyFont="1" applyBorder="1" applyAlignment="1" applyProtection="1">
      <alignment horizontal="center" wrapText="1"/>
      <protection/>
    </xf>
    <xf numFmtId="0" fontId="32" fillId="0" borderId="16" xfId="0" applyFont="1" applyFill="1" applyBorder="1" applyAlignment="1" applyProtection="1">
      <alignment horizontal="center" wrapText="1"/>
      <protection/>
    </xf>
    <xf numFmtId="172" fontId="1" fillId="0" borderId="39" xfId="42" applyNumberFormat="1" applyFont="1" applyFill="1" applyBorder="1" applyAlignment="1" applyProtection="1">
      <alignment/>
      <protection/>
    </xf>
    <xf numFmtId="172" fontId="1" fillId="0" borderId="86" xfId="42" applyNumberFormat="1" applyFont="1" applyFill="1" applyBorder="1" applyAlignment="1" applyProtection="1">
      <alignment/>
      <protection/>
    </xf>
    <xf numFmtId="0" fontId="39" fillId="0" borderId="16" xfId="0" applyFont="1" applyFill="1" applyBorder="1" applyAlignment="1" applyProtection="1">
      <alignment/>
      <protection/>
    </xf>
    <xf numFmtId="2" fontId="0" fillId="0" borderId="16" xfId="0" applyNumberFormat="1" applyFont="1" applyFill="1" applyBorder="1" applyAlignment="1" applyProtection="1">
      <alignment horizontal="center"/>
      <protection/>
    </xf>
    <xf numFmtId="2" fontId="0" fillId="0" borderId="90" xfId="0" applyNumberFormat="1" applyFont="1" applyFill="1" applyBorder="1" applyAlignment="1" applyProtection="1">
      <alignment horizontal="center"/>
      <protection/>
    </xf>
    <xf numFmtId="173" fontId="1" fillId="7" borderId="16" xfId="42" applyNumberFormat="1" applyFont="1" applyFill="1" applyBorder="1" applyAlignment="1" applyProtection="1">
      <alignment/>
      <protection/>
    </xf>
    <xf numFmtId="172" fontId="1" fillId="7" borderId="16" xfId="42" applyNumberFormat="1" applyFont="1" applyFill="1" applyBorder="1" applyAlignment="1" applyProtection="1">
      <alignment/>
      <protection/>
    </xf>
    <xf numFmtId="0" fontId="12" fillId="21" borderId="47" xfId="0" applyFont="1" applyFill="1" applyBorder="1" applyAlignment="1" applyProtection="1">
      <alignment/>
      <protection/>
    </xf>
    <xf numFmtId="0" fontId="0" fillId="0" borderId="47" xfId="0" applyBorder="1" applyAlignment="1" applyProtection="1">
      <alignment/>
      <protection/>
    </xf>
    <xf numFmtId="3" fontId="0" fillId="0" borderId="32" xfId="0" applyNumberFormat="1" applyFill="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3" fontId="0" fillId="0" borderId="48" xfId="0" applyNumberFormat="1" applyFill="1" applyBorder="1" applyAlignment="1" applyProtection="1">
      <alignment/>
      <protection/>
    </xf>
    <xf numFmtId="0" fontId="0" fillId="0" borderId="27" xfId="0" applyFill="1" applyBorder="1" applyAlignment="1" applyProtection="1">
      <alignment/>
      <protection/>
    </xf>
    <xf numFmtId="3" fontId="0" fillId="0" borderId="20" xfId="0" applyNumberFormat="1" applyBorder="1" applyAlignment="1" applyProtection="1">
      <alignment/>
      <protection/>
    </xf>
    <xf numFmtId="0" fontId="12" fillId="21" borderId="94" xfId="0" applyFont="1" applyFill="1" applyBorder="1" applyAlignment="1" applyProtection="1">
      <alignment/>
      <protection/>
    </xf>
    <xf numFmtId="0" fontId="12" fillId="21" borderId="27" xfId="0" applyFont="1" applyFill="1" applyBorder="1" applyAlignment="1" applyProtection="1">
      <alignment/>
      <protection/>
    </xf>
    <xf numFmtId="0" fontId="12" fillId="21" borderId="95" xfId="0" applyFont="1" applyFill="1" applyBorder="1" applyAlignment="1" applyProtection="1">
      <alignment horizontal="center"/>
      <protection/>
    </xf>
    <xf numFmtId="3" fontId="0" fillId="0" borderId="26" xfId="0" applyNumberFormat="1" applyFill="1" applyBorder="1" applyAlignment="1" applyProtection="1">
      <alignment/>
      <protection/>
    </xf>
    <xf numFmtId="164" fontId="0" fillId="0" borderId="20" xfId="0" applyNumberFormat="1" applyBorder="1" applyAlignment="1" applyProtection="1">
      <alignment/>
      <protection/>
    </xf>
    <xf numFmtId="164" fontId="0" fillId="0" borderId="26" xfId="0" applyNumberFormat="1" applyBorder="1" applyAlignment="1" applyProtection="1">
      <alignment/>
      <protection/>
    </xf>
    <xf numFmtId="10" fontId="0" fillId="0" borderId="20" xfId="0" applyNumberFormat="1" applyBorder="1" applyAlignment="1" applyProtection="1">
      <alignment/>
      <protection/>
    </xf>
    <xf numFmtId="10" fontId="0" fillId="0" borderId="26" xfId="0" applyNumberFormat="1" applyBorder="1" applyAlignment="1" applyProtection="1">
      <alignment/>
      <protection/>
    </xf>
    <xf numFmtId="0" fontId="33" fillId="0" borderId="27" xfId="0" applyFont="1" applyFill="1" applyBorder="1" applyAlignment="1" applyProtection="1">
      <alignment/>
      <protection/>
    </xf>
    <xf numFmtId="164" fontId="0" fillId="0" borderId="20" xfId="0" applyNumberFormat="1" applyFill="1" applyBorder="1" applyAlignment="1" applyProtection="1">
      <alignment/>
      <protection/>
    </xf>
    <xf numFmtId="170" fontId="0" fillId="0" borderId="20" xfId="42" applyNumberFormat="1" applyFont="1" applyFill="1" applyBorder="1" applyAlignment="1" applyProtection="1">
      <alignment/>
      <protection/>
    </xf>
    <xf numFmtId="164" fontId="0" fillId="0" borderId="26" xfId="0" applyNumberFormat="1" applyFill="1" applyBorder="1" applyAlignment="1" applyProtection="1">
      <alignment/>
      <protection/>
    </xf>
    <xf numFmtId="10" fontId="0" fillId="0" borderId="20" xfId="0" applyNumberFormat="1" applyFont="1" applyBorder="1" applyAlignment="1" applyProtection="1">
      <alignment/>
      <protection/>
    </xf>
    <xf numFmtId="10" fontId="32" fillId="0" borderId="26" xfId="0" applyNumberFormat="1" applyFont="1" applyBorder="1" applyAlignment="1" applyProtection="1">
      <alignment/>
      <protection/>
    </xf>
    <xf numFmtId="0" fontId="0" fillId="0" borderId="16" xfId="0" applyFont="1" applyBorder="1" applyAlignment="1" applyProtection="1">
      <alignment/>
      <protection/>
    </xf>
    <xf numFmtId="0" fontId="0" fillId="0" borderId="0" xfId="0" applyFont="1" applyAlignment="1" applyProtection="1">
      <alignment horizontal="center" vertical="center" wrapText="1"/>
      <protection/>
    </xf>
    <xf numFmtId="0" fontId="0" fillId="0" borderId="91" xfId="0" applyFont="1" applyBorder="1" applyAlignment="1" applyProtection="1">
      <alignment/>
      <protection/>
    </xf>
    <xf numFmtId="0" fontId="0" fillId="0" borderId="90" xfId="0" applyFont="1" applyFill="1" applyBorder="1" applyAlignment="1" applyProtection="1">
      <alignment/>
      <protection/>
    </xf>
    <xf numFmtId="0" fontId="0" fillId="17" borderId="0" xfId="0" applyFont="1" applyFill="1" applyAlignment="1" applyProtection="1">
      <alignment/>
      <protection/>
    </xf>
    <xf numFmtId="0" fontId="0" fillId="0" borderId="0" xfId="0" applyFont="1" applyAlignment="1" applyProtection="1">
      <alignment horizontal="left"/>
      <protection/>
    </xf>
    <xf numFmtId="0" fontId="0" fillId="24" borderId="0" xfId="0" applyFont="1" applyFill="1" applyAlignment="1" applyProtection="1">
      <alignment/>
      <protection/>
    </xf>
    <xf numFmtId="1" fontId="37" fillId="0" borderId="30" xfId="65" applyNumberFormat="1"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Fill="1" applyBorder="1" applyAlignment="1" applyProtection="1">
      <alignment horizontal="right"/>
      <protection/>
    </xf>
    <xf numFmtId="0" fontId="0" fillId="0" borderId="29" xfId="0" applyBorder="1" applyAlignment="1" applyProtection="1">
      <alignment/>
      <protection/>
    </xf>
    <xf numFmtId="1" fontId="0" fillId="0" borderId="0" xfId="0" applyNumberFormat="1" applyAlignment="1" applyProtection="1">
      <alignment horizontal="right"/>
      <protection/>
    </xf>
    <xf numFmtId="0" fontId="72" fillId="0" borderId="0" xfId="0" applyFont="1" applyAlignment="1" applyProtection="1">
      <alignment/>
      <protection/>
    </xf>
    <xf numFmtId="0" fontId="27" fillId="0" borderId="0" xfId="0" applyFont="1" applyFill="1" applyBorder="1" applyAlignment="1" applyProtection="1">
      <alignment horizontal="right"/>
      <protection/>
    </xf>
    <xf numFmtId="0" fontId="0" fillId="0" borderId="0" xfId="0" applyAlignment="1" applyProtection="1">
      <alignment/>
      <protection locked="0"/>
    </xf>
    <xf numFmtId="0" fontId="0" fillId="0" borderId="0" xfId="0" applyFont="1" applyAlignment="1" applyProtection="1">
      <alignment/>
      <protection locked="0"/>
    </xf>
    <xf numFmtId="0" fontId="0" fillId="0" borderId="90" xfId="0" applyFont="1" applyBorder="1" applyAlignment="1" applyProtection="1">
      <alignment/>
      <protection/>
    </xf>
    <xf numFmtId="0" fontId="0" fillId="0" borderId="96" xfId="0" applyFont="1" applyFill="1" applyBorder="1" applyAlignment="1" applyProtection="1">
      <alignment/>
      <protection/>
    </xf>
    <xf numFmtId="0" fontId="27" fillId="0" borderId="97" xfId="0" applyFont="1" applyFill="1" applyBorder="1" applyAlignment="1" applyProtection="1">
      <alignment horizontal="center" vertical="center" wrapText="1"/>
      <protection/>
    </xf>
    <xf numFmtId="0" fontId="27" fillId="0" borderId="98" xfId="0" applyFont="1" applyFill="1" applyBorder="1" applyAlignment="1" applyProtection="1">
      <alignment horizontal="center" vertical="center" wrapText="1"/>
      <protection/>
    </xf>
    <xf numFmtId="0" fontId="27" fillId="0" borderId="32" xfId="0" applyFont="1" applyFill="1" applyBorder="1" applyAlignment="1" applyProtection="1">
      <alignment horizontal="center" vertical="center" wrapText="1"/>
      <protection/>
    </xf>
    <xf numFmtId="0" fontId="0" fillId="24" borderId="20" xfId="0" applyFont="1" applyFill="1" applyBorder="1" applyAlignment="1" applyProtection="1">
      <alignment/>
      <protection locked="0"/>
    </xf>
    <xf numFmtId="3" fontId="3" fillId="0" borderId="0" xfId="0" applyNumberFormat="1" applyFont="1" applyFill="1" applyBorder="1" applyAlignment="1" applyProtection="1">
      <alignment vertical="center" wrapText="1"/>
      <protection/>
    </xf>
    <xf numFmtId="0" fontId="12" fillId="21" borderId="46" xfId="0" applyFont="1" applyFill="1" applyBorder="1" applyAlignment="1" applyProtection="1">
      <alignment horizontal="center" wrapText="1"/>
      <protection/>
    </xf>
    <xf numFmtId="0" fontId="0" fillId="29" borderId="0" xfId="0" applyFont="1" applyFill="1" applyAlignment="1" applyProtection="1">
      <alignment/>
      <protection/>
    </xf>
    <xf numFmtId="0" fontId="0" fillId="29" borderId="0" xfId="0" applyFont="1" applyFill="1" applyAlignment="1" applyProtection="1">
      <alignment horizontal="left"/>
      <protection/>
    </xf>
    <xf numFmtId="0" fontId="27" fillId="0" borderId="0" xfId="0" applyFont="1" applyFill="1" applyBorder="1" applyAlignment="1" applyProtection="1">
      <alignment/>
      <protection/>
    </xf>
    <xf numFmtId="0" fontId="0" fillId="0" borderId="0" xfId="0" applyFont="1" applyFill="1" applyBorder="1" applyAlignment="1" applyProtection="1">
      <alignment/>
      <protection/>
    </xf>
    <xf numFmtId="168" fontId="0" fillId="0" borderId="0" xfId="0" applyNumberFormat="1" applyAlignment="1" applyProtection="1">
      <alignment/>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protection/>
    </xf>
    <xf numFmtId="168" fontId="0" fillId="0" borderId="0" xfId="0" applyNumberFormat="1" applyAlignment="1" applyProtection="1">
      <alignment horizontal="center"/>
      <protection/>
    </xf>
    <xf numFmtId="9" fontId="37" fillId="0" borderId="37" xfId="73" applyFont="1" applyFill="1" applyBorder="1" applyAlignment="1" applyProtection="1">
      <alignment horizontal="center"/>
      <protection/>
    </xf>
    <xf numFmtId="0" fontId="0" fillId="0" borderId="19"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3" fontId="3" fillId="0" borderId="99" xfId="0" applyNumberFormat="1" applyFont="1" applyFill="1" applyBorder="1" applyAlignment="1" applyProtection="1">
      <alignment vertical="center" wrapText="1"/>
      <protection/>
    </xf>
    <xf numFmtId="166" fontId="37" fillId="0" borderId="86" xfId="0" applyNumberFormat="1" applyFont="1" applyFill="1" applyBorder="1" applyAlignment="1" applyProtection="1">
      <alignment vertical="top" wrapText="1"/>
      <protection/>
    </xf>
    <xf numFmtId="166" fontId="37" fillId="0" borderId="93" xfId="0" applyNumberFormat="1" applyFont="1" applyFill="1" applyBorder="1" applyAlignment="1" applyProtection="1">
      <alignment vertical="top" wrapText="1"/>
      <protection/>
    </xf>
    <xf numFmtId="166" fontId="37" fillId="0" borderId="54" xfId="0" applyNumberFormat="1" applyFont="1" applyFill="1" applyBorder="1" applyAlignment="1" applyProtection="1">
      <alignment vertical="top" wrapText="1"/>
      <protection/>
    </xf>
    <xf numFmtId="10" fontId="27" fillId="0" borderId="26" xfId="0" applyNumberFormat="1" applyFont="1" applyBorder="1" applyAlignment="1" applyProtection="1">
      <alignment/>
      <protection/>
    </xf>
    <xf numFmtId="0" fontId="73" fillId="0" borderId="27" xfId="0" applyFont="1" applyFill="1" applyBorder="1" applyAlignment="1" applyProtection="1">
      <alignment/>
      <protection/>
    </xf>
    <xf numFmtId="0" fontId="74" fillId="0" borderId="27" xfId="0" applyFont="1" applyBorder="1" applyAlignment="1" applyProtection="1">
      <alignment/>
      <protection/>
    </xf>
    <xf numFmtId="0" fontId="74" fillId="0" borderId="27" xfId="0" applyFont="1" applyFill="1" applyBorder="1" applyAlignment="1" applyProtection="1">
      <alignment/>
      <protection/>
    </xf>
    <xf numFmtId="4" fontId="3" fillId="0" borderId="99" xfId="0" applyNumberFormat="1" applyFont="1" applyFill="1" applyBorder="1" applyAlignment="1" applyProtection="1">
      <alignment horizontal="center" vertical="center" wrapText="1"/>
      <protection/>
    </xf>
    <xf numFmtId="0" fontId="0" fillId="0" borderId="16" xfId="0" applyFill="1" applyBorder="1" applyAlignment="1" applyProtection="1">
      <alignment horizontal="center"/>
      <protection/>
    </xf>
    <xf numFmtId="0" fontId="0" fillId="0" borderId="16" xfId="0" applyFont="1" applyBorder="1" applyAlignment="1" applyProtection="1">
      <alignment horizontal="center"/>
      <protection/>
    </xf>
    <xf numFmtId="0" fontId="0" fillId="0" borderId="16" xfId="0" applyFont="1" applyFill="1" applyBorder="1" applyAlignment="1" applyProtection="1">
      <alignment/>
      <protection/>
    </xf>
    <xf numFmtId="0" fontId="0" fillId="0" borderId="16" xfId="0" applyFont="1" applyFill="1" applyBorder="1" applyAlignment="1" applyProtection="1">
      <alignment horizontal="center"/>
      <protection/>
    </xf>
    <xf numFmtId="9" fontId="0" fillId="0" borderId="16" xfId="73" applyFont="1" applyFill="1" applyBorder="1" applyAlignment="1" applyProtection="1">
      <alignment horizontal="center"/>
      <protection/>
    </xf>
    <xf numFmtId="9" fontId="0" fillId="0" borderId="16" xfId="73" applyFont="1" applyBorder="1" applyAlignment="1" applyProtection="1">
      <alignment horizontal="center"/>
      <protection/>
    </xf>
    <xf numFmtId="0" fontId="72" fillId="0" borderId="20" xfId="0" applyFont="1" applyFill="1" applyBorder="1" applyAlignment="1" applyProtection="1">
      <alignment horizontal="center"/>
      <protection/>
    </xf>
    <xf numFmtId="0" fontId="29" fillId="0" borderId="0" xfId="0" applyFont="1" applyAlignment="1" applyProtection="1">
      <alignment horizontal="left" vertical="center"/>
      <protection/>
    </xf>
    <xf numFmtId="0" fontId="27" fillId="0" borderId="0" xfId="0" applyFont="1" applyFill="1" applyBorder="1" applyAlignment="1" applyProtection="1">
      <alignment horizontal="center" vertical="center" wrapText="1"/>
      <protection/>
    </xf>
    <xf numFmtId="0" fontId="0" fillId="0" borderId="19" xfId="0" applyFont="1" applyFill="1" applyBorder="1" applyAlignment="1" applyProtection="1">
      <alignment wrapText="1"/>
      <protection/>
    </xf>
    <xf numFmtId="0" fontId="0" fillId="0" borderId="16" xfId="0" applyFont="1" applyBorder="1" applyAlignment="1" applyProtection="1">
      <alignment wrapText="1"/>
      <protection/>
    </xf>
    <xf numFmtId="0" fontId="0" fillId="0" borderId="16" xfId="0" applyBorder="1" applyAlignment="1" applyProtection="1">
      <alignment wrapText="1"/>
      <protection/>
    </xf>
    <xf numFmtId="0" fontId="0" fillId="7" borderId="16" xfId="0" applyFont="1" applyFill="1" applyBorder="1" applyAlignment="1" applyProtection="1">
      <alignment horizontal="center" vertical="center"/>
      <protection/>
    </xf>
    <xf numFmtId="2" fontId="0" fillId="0" borderId="90" xfId="66" applyNumberFormat="1" applyFill="1" applyBorder="1" applyProtection="1">
      <alignment/>
      <protection/>
    </xf>
    <xf numFmtId="2" fontId="0" fillId="0" borderId="90" xfId="66" applyNumberFormat="1" applyFont="1" applyFill="1" applyBorder="1" applyProtection="1">
      <alignment/>
      <protection/>
    </xf>
    <xf numFmtId="2" fontId="0" fillId="0" borderId="16" xfId="0" applyNumberFormat="1" applyFill="1" applyBorder="1" applyAlignment="1" applyProtection="1">
      <alignment/>
      <protection/>
    </xf>
    <xf numFmtId="0" fontId="27" fillId="0" borderId="16" xfId="0" applyFont="1" applyBorder="1" applyAlignment="1" applyProtection="1">
      <alignment horizontal="center" wrapText="1"/>
      <protection/>
    </xf>
    <xf numFmtId="2" fontId="0" fillId="0" borderId="16" xfId="66" applyNumberFormat="1" applyFill="1" applyBorder="1" applyProtection="1">
      <alignment/>
      <protection/>
    </xf>
    <xf numFmtId="0" fontId="0" fillId="30" borderId="16" xfId="0" applyFont="1" applyFill="1" applyBorder="1" applyAlignment="1" applyProtection="1">
      <alignment horizontal="left" wrapText="1"/>
      <protection/>
    </xf>
    <xf numFmtId="0" fontId="0" fillId="0" borderId="12" xfId="0" applyFill="1" applyBorder="1" applyAlignment="1" applyProtection="1">
      <alignment wrapText="1"/>
      <protection/>
    </xf>
    <xf numFmtId="1" fontId="0" fillId="0" borderId="16" xfId="0" applyNumberFormat="1" applyFont="1" applyFill="1" applyBorder="1" applyAlignment="1" applyProtection="1">
      <alignment/>
      <protection/>
    </xf>
    <xf numFmtId="1" fontId="0" fillId="7" borderId="16" xfId="0" applyNumberFormat="1" applyFont="1" applyFill="1" applyBorder="1" applyAlignment="1" applyProtection="1">
      <alignment/>
      <protection/>
    </xf>
    <xf numFmtId="1" fontId="72" fillId="0" borderId="20" xfId="0" applyNumberFormat="1" applyFont="1" applyFill="1" applyBorder="1" applyAlignment="1" applyProtection="1">
      <alignment horizontal="center"/>
      <protection/>
    </xf>
    <xf numFmtId="166" fontId="0" fillId="0" borderId="16" xfId="0" applyNumberFormat="1" applyFont="1" applyFill="1" applyBorder="1" applyAlignment="1" applyProtection="1">
      <alignment horizontal="center"/>
      <protection/>
    </xf>
    <xf numFmtId="1" fontId="0" fillId="0" borderId="16" xfId="0" applyNumberFormat="1" applyFill="1" applyBorder="1" applyAlignment="1" applyProtection="1">
      <alignment horizontal="center" vertical="center"/>
      <protection/>
    </xf>
    <xf numFmtId="166" fontId="0" fillId="0" borderId="16" xfId="0" applyNumberFormat="1" applyFont="1" applyFill="1" applyBorder="1" applyAlignment="1" applyProtection="1">
      <alignment horizontal="center" wrapText="1"/>
      <protection/>
    </xf>
    <xf numFmtId="0" fontId="0" fillId="0" borderId="16" xfId="0" applyFont="1" applyFill="1" applyBorder="1" applyAlignment="1" applyProtection="1">
      <alignment wrapText="1"/>
      <protection/>
    </xf>
    <xf numFmtId="166" fontId="0" fillId="0" borderId="38" xfId="0" applyNumberFormat="1" applyFont="1" applyFill="1" applyBorder="1" applyAlignment="1" applyProtection="1">
      <alignment horizontal="center" wrapText="1"/>
      <protection/>
    </xf>
    <xf numFmtId="166" fontId="0" fillId="0" borderId="38" xfId="0" applyNumberFormat="1" applyFont="1" applyFill="1" applyBorder="1" applyAlignment="1" applyProtection="1">
      <alignment horizontal="center"/>
      <protection/>
    </xf>
    <xf numFmtId="0" fontId="0" fillId="0" borderId="91" xfId="0" applyFont="1" applyFill="1" applyBorder="1" applyAlignment="1" applyProtection="1">
      <alignment horizontal="center" vertical="center" wrapText="1"/>
      <protection/>
    </xf>
    <xf numFmtId="0" fontId="8" fillId="0" borderId="0" xfId="69" applyFont="1" applyBorder="1" applyAlignment="1" applyProtection="1">
      <alignment horizontal="center"/>
      <protection/>
    </xf>
    <xf numFmtId="0" fontId="1" fillId="0" borderId="0" xfId="69" applyFont="1" applyAlignment="1" applyProtection="1">
      <alignment horizontal="center"/>
      <protection/>
    </xf>
    <xf numFmtId="0" fontId="27" fillId="0" borderId="90" xfId="0" applyFont="1" applyFill="1" applyBorder="1" applyAlignment="1" applyProtection="1">
      <alignment/>
      <protection/>
    </xf>
    <xf numFmtId="0" fontId="1" fillId="22" borderId="10" xfId="69" applyFont="1" applyFill="1" applyBorder="1" applyAlignment="1">
      <alignment horizontal="left"/>
      <protection/>
    </xf>
    <xf numFmtId="0" fontId="1" fillId="22" borderId="38" xfId="69" applyFill="1" applyBorder="1" applyAlignment="1">
      <alignment horizontal="center"/>
      <protection/>
    </xf>
    <xf numFmtId="0" fontId="39" fillId="22" borderId="87" xfId="69" applyFont="1" applyFill="1" applyBorder="1" applyAlignment="1">
      <alignment horizontal="center"/>
      <protection/>
    </xf>
    <xf numFmtId="0" fontId="39" fillId="22" borderId="100" xfId="69" applyFont="1" applyFill="1" applyBorder="1" applyAlignment="1">
      <alignment horizontal="center"/>
      <protection/>
    </xf>
    <xf numFmtId="0" fontId="39" fillId="22" borderId="17" xfId="69" applyFont="1" applyFill="1" applyBorder="1" applyAlignment="1">
      <alignment horizontal="center"/>
      <protection/>
    </xf>
    <xf numFmtId="0" fontId="39" fillId="0" borderId="0" xfId="69" applyFont="1">
      <alignment/>
      <protection/>
    </xf>
    <xf numFmtId="0" fontId="1" fillId="22" borderId="13" xfId="69" applyFont="1" applyFill="1" applyBorder="1" applyAlignment="1">
      <alignment horizontal="center"/>
      <protection/>
    </xf>
    <xf numFmtId="0" fontId="1" fillId="22" borderId="11" xfId="69" applyFont="1" applyFill="1" applyBorder="1" applyAlignment="1">
      <alignment horizontal="center"/>
      <protection/>
    </xf>
    <xf numFmtId="0" fontId="1" fillId="22" borderId="15" xfId="69" applyFont="1" applyFill="1" applyBorder="1" applyAlignment="1">
      <alignment horizontal="center"/>
      <protection/>
    </xf>
    <xf numFmtId="0" fontId="1" fillId="0" borderId="0" xfId="69" applyFont="1">
      <alignment/>
      <protection/>
    </xf>
    <xf numFmtId="0" fontId="39" fillId="22" borderId="101" xfId="69" applyFont="1" applyFill="1" applyBorder="1">
      <alignment/>
      <protection/>
    </xf>
    <xf numFmtId="0" fontId="39" fillId="22" borderId="102" xfId="69" applyFont="1" applyFill="1" applyBorder="1" applyAlignment="1">
      <alignment horizontal="center"/>
      <protection/>
    </xf>
    <xf numFmtId="0" fontId="39" fillId="22" borderId="103" xfId="69" applyFont="1" applyFill="1" applyBorder="1" applyAlignment="1">
      <alignment horizontal="center"/>
      <protection/>
    </xf>
    <xf numFmtId="0" fontId="1" fillId="22" borderId="104" xfId="69" applyFill="1" applyBorder="1">
      <alignment/>
      <protection/>
    </xf>
    <xf numFmtId="0" fontId="1" fillId="22" borderId="72" xfId="69" applyFill="1" applyBorder="1" applyAlignment="1">
      <alignment horizontal="center"/>
      <protection/>
    </xf>
    <xf numFmtId="0" fontId="1" fillId="22" borderId="105" xfId="69" applyFont="1" applyFill="1" applyBorder="1" applyAlignment="1">
      <alignment horizontal="center"/>
      <protection/>
    </xf>
    <xf numFmtId="0" fontId="0" fillId="0" borderId="16" xfId="0" applyFont="1" applyFill="1" applyBorder="1" applyAlignment="1" applyProtection="1">
      <alignment vertical="center" wrapText="1"/>
      <protection/>
    </xf>
    <xf numFmtId="0" fontId="0" fillId="0" borderId="16" xfId="66"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Fill="1" applyAlignment="1" applyProtection="1">
      <alignment/>
      <protection/>
    </xf>
    <xf numFmtId="37" fontId="1" fillId="0" borderId="92" xfId="42" applyNumberFormat="1" applyFont="1" applyFill="1" applyBorder="1" applyAlignment="1" applyProtection="1">
      <alignment horizontal="center"/>
      <protection/>
    </xf>
    <xf numFmtId="37" fontId="39" fillId="0" borderId="16" xfId="42" applyNumberFormat="1" applyFont="1" applyFill="1" applyBorder="1" applyAlignment="1" applyProtection="1">
      <alignment horizontal="center"/>
      <protection/>
    </xf>
    <xf numFmtId="0" fontId="1" fillId="20" borderId="82" xfId="69" applyFont="1" applyFill="1" applyBorder="1" applyAlignment="1" applyProtection="1">
      <alignment horizontal="left"/>
      <protection/>
    </xf>
    <xf numFmtId="0" fontId="0" fillId="29" borderId="0" xfId="0" applyFill="1" applyAlignment="1" applyProtection="1">
      <alignment horizontal="center"/>
      <protection/>
    </xf>
    <xf numFmtId="173" fontId="8" fillId="7" borderId="16" xfId="42" applyNumberFormat="1" applyFont="1" applyFill="1" applyBorder="1" applyAlignment="1" applyProtection="1">
      <alignment/>
      <protection/>
    </xf>
    <xf numFmtId="37" fontId="1" fillId="27" borderId="92" xfId="42" applyNumberFormat="1" applyFont="1" applyFill="1" applyBorder="1" applyAlignment="1" applyProtection="1">
      <alignment horizontal="center"/>
      <protection/>
    </xf>
    <xf numFmtId="0" fontId="39" fillId="0" borderId="12" xfId="0" applyFont="1" applyBorder="1" applyAlignment="1" applyProtection="1">
      <alignment horizontal="center"/>
      <protection/>
    </xf>
    <xf numFmtId="0" fontId="39" fillId="0" borderId="13" xfId="0" applyFont="1" applyBorder="1" applyAlignment="1" applyProtection="1">
      <alignment horizontal="center"/>
      <protection/>
    </xf>
    <xf numFmtId="0" fontId="39" fillId="0" borderId="106" xfId="0" applyFont="1" applyBorder="1" applyAlignment="1" applyProtection="1">
      <alignment horizontal="right"/>
      <protection/>
    </xf>
    <xf numFmtId="0" fontId="39" fillId="0" borderId="90" xfId="0" applyFont="1" applyFill="1" applyBorder="1" applyAlignment="1" applyProtection="1">
      <alignment/>
      <protection/>
    </xf>
    <xf numFmtId="167" fontId="0" fillId="31" borderId="20" xfId="0" applyNumberFormat="1" applyFill="1" applyBorder="1" applyAlignment="1" applyProtection="1">
      <alignment/>
      <protection/>
    </xf>
    <xf numFmtId="167" fontId="0" fillId="31" borderId="16" xfId="0" applyNumberFormat="1" applyFill="1" applyBorder="1" applyAlignment="1" applyProtection="1">
      <alignment horizontal="center"/>
      <protection/>
    </xf>
    <xf numFmtId="2" fontId="0" fillId="0" borderId="19" xfId="0" applyNumberFormat="1" applyFill="1" applyBorder="1" applyAlignment="1" applyProtection="1">
      <alignment/>
      <protection/>
    </xf>
    <xf numFmtId="0" fontId="0" fillId="0" borderId="19" xfId="0" applyFill="1" applyBorder="1" applyAlignment="1" applyProtection="1">
      <alignment/>
      <protection/>
    </xf>
    <xf numFmtId="2" fontId="0" fillId="7" borderId="44" xfId="0" applyNumberFormat="1" applyFill="1" applyBorder="1" applyAlignment="1" applyProtection="1">
      <alignment/>
      <protection/>
    </xf>
    <xf numFmtId="2" fontId="0" fillId="7" borderId="92" xfId="0" applyNumberFormat="1" applyFill="1" applyBorder="1" applyAlignment="1" applyProtection="1">
      <alignment/>
      <protection/>
    </xf>
    <xf numFmtId="0" fontId="0" fillId="7" borderId="44" xfId="0" applyFill="1" applyBorder="1" applyAlignment="1" applyProtection="1">
      <alignment/>
      <protection/>
    </xf>
    <xf numFmtId="0" fontId="0" fillId="0" borderId="107" xfId="0"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2" fontId="0" fillId="0" borderId="23" xfId="0" applyNumberFormat="1" applyFill="1" applyBorder="1" applyAlignment="1" applyProtection="1">
      <alignment/>
      <protection/>
    </xf>
    <xf numFmtId="0" fontId="0" fillId="0" borderId="23" xfId="0" applyFill="1" applyBorder="1" applyAlignment="1" applyProtection="1">
      <alignment/>
      <protection/>
    </xf>
    <xf numFmtId="2" fontId="0" fillId="7" borderId="108" xfId="0" applyNumberFormat="1" applyFill="1" applyBorder="1" applyAlignment="1" applyProtection="1">
      <alignment/>
      <protection/>
    </xf>
    <xf numFmtId="2" fontId="0" fillId="7" borderId="81" xfId="0" applyNumberFormat="1" applyFill="1" applyBorder="1" applyAlignment="1" applyProtection="1">
      <alignment/>
      <protection/>
    </xf>
    <xf numFmtId="0" fontId="0" fillId="7" borderId="108" xfId="0" applyFill="1" applyBorder="1" applyAlignment="1" applyProtection="1">
      <alignment/>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protection/>
    </xf>
    <xf numFmtId="166" fontId="0" fillId="0" borderId="38" xfId="0" applyNumberFormat="1" applyFill="1" applyBorder="1" applyAlignment="1" applyProtection="1">
      <alignment horizontal="center"/>
      <protection/>
    </xf>
    <xf numFmtId="0" fontId="37" fillId="0" borderId="16" xfId="0" applyFont="1" applyFill="1" applyBorder="1" applyAlignment="1" applyProtection="1">
      <alignment horizontal="center"/>
      <protection/>
    </xf>
    <xf numFmtId="0" fontId="0" fillId="0" borderId="0" xfId="0"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Alignment="1" applyProtection="1">
      <alignment/>
      <protection/>
    </xf>
    <xf numFmtId="2" fontId="8" fillId="0" borderId="0" xfId="68" applyNumberFormat="1" applyFont="1" applyFill="1" applyBorder="1" applyProtection="1">
      <alignment/>
      <protection/>
    </xf>
    <xf numFmtId="168" fontId="8" fillId="0" borderId="0" xfId="68" applyNumberFormat="1" applyFont="1" applyFill="1" applyBorder="1" applyProtection="1">
      <alignment/>
      <protection/>
    </xf>
    <xf numFmtId="0" fontId="8" fillId="6" borderId="0" xfId="68" applyFont="1" applyFill="1" applyProtection="1">
      <alignment/>
      <protection/>
    </xf>
    <xf numFmtId="0" fontId="0" fillId="0" borderId="40" xfId="0" applyBorder="1" applyAlignment="1" applyProtection="1">
      <alignment/>
      <protection/>
    </xf>
    <xf numFmtId="3" fontId="4" fillId="0" borderId="40" xfId="0" applyNumberFormat="1" applyFont="1" applyFill="1" applyBorder="1" applyAlignment="1" applyProtection="1">
      <alignment wrapText="1"/>
      <protection/>
    </xf>
    <xf numFmtId="0" fontId="0" fillId="0" borderId="91" xfId="0" applyFont="1" applyBorder="1" applyAlignment="1" applyProtection="1">
      <alignment/>
      <protection/>
    </xf>
    <xf numFmtId="0" fontId="0" fillId="0" borderId="109" xfId="0" applyFont="1" applyFill="1" applyBorder="1" applyAlignment="1" applyProtection="1">
      <alignment/>
      <protection/>
    </xf>
    <xf numFmtId="0" fontId="27" fillId="0" borderId="0" xfId="0" applyFont="1" applyAlignment="1">
      <alignment/>
    </xf>
    <xf numFmtId="0" fontId="0" fillId="0" borderId="0" xfId="0" applyAlignment="1">
      <alignment wrapText="1"/>
    </xf>
    <xf numFmtId="0" fontId="0" fillId="0" borderId="0" xfId="0" applyFont="1" applyAlignment="1">
      <alignment wrapText="1"/>
    </xf>
    <xf numFmtId="0" fontId="29" fillId="0" borderId="0" xfId="0" applyFont="1" applyAlignment="1">
      <alignment/>
    </xf>
    <xf numFmtId="0" fontId="29"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ill="1" applyBorder="1" applyAlignment="1" applyProtection="1">
      <alignment horizontal="center"/>
      <protection/>
    </xf>
    <xf numFmtId="1" fontId="75" fillId="0" borderId="0" xfId="0" applyNumberFormat="1" applyFont="1" applyFill="1" applyAlignment="1" applyProtection="1">
      <alignment/>
      <protection/>
    </xf>
    <xf numFmtId="2" fontId="0" fillId="7" borderId="16" xfId="0" applyNumberFormat="1" applyFill="1" applyBorder="1" applyAlignment="1" applyProtection="1">
      <alignment horizontal="right"/>
      <protection/>
    </xf>
    <xf numFmtId="0" fontId="1" fillId="0" borderId="0" xfId="69" applyFont="1" applyProtection="1">
      <alignment/>
      <protection/>
    </xf>
    <xf numFmtId="3" fontId="1" fillId="0" borderId="0" xfId="69" applyNumberFormat="1" applyFill="1" applyBorder="1" applyAlignment="1" applyProtection="1">
      <alignment horizontal="center"/>
      <protection/>
    </xf>
    <xf numFmtId="170" fontId="0" fillId="0" borderId="0" xfId="0" applyNumberFormat="1" applyAlignment="1" applyProtection="1">
      <alignment/>
      <protection/>
    </xf>
    <xf numFmtId="0" fontId="0" fillId="0" borderId="0" xfId="0" applyFill="1" applyAlignment="1" applyProtection="1">
      <alignment wrapText="1"/>
      <protection/>
    </xf>
    <xf numFmtId="0" fontId="0" fillId="0" borderId="0" xfId="0" applyAlignment="1" applyProtection="1">
      <alignment wrapText="1" shrinkToFit="1"/>
      <protection/>
    </xf>
    <xf numFmtId="0" fontId="18" fillId="0" borderId="0" xfId="59" applyAlignment="1" applyProtection="1">
      <alignment/>
      <protection/>
    </xf>
    <xf numFmtId="0" fontId="0" fillId="0" borderId="0" xfId="0" applyFont="1" applyAlignment="1" applyProtection="1">
      <alignment wrapText="1"/>
      <protection/>
    </xf>
    <xf numFmtId="0" fontId="27" fillId="0" borderId="0" xfId="0" applyFont="1" applyFill="1" applyBorder="1" applyAlignment="1" applyProtection="1">
      <alignment wrapText="1"/>
      <protection/>
    </xf>
    <xf numFmtId="2" fontId="0" fillId="0" borderId="0" xfId="0" applyNumberFormat="1" applyFill="1" applyBorder="1" applyAlignment="1" applyProtection="1">
      <alignment/>
      <protection/>
    </xf>
    <xf numFmtId="166" fontId="0" fillId="0" borderId="0" xfId="0" applyNumberFormat="1" applyAlignment="1" applyProtection="1">
      <alignment/>
      <protection/>
    </xf>
    <xf numFmtId="165" fontId="0" fillId="0" borderId="0" xfId="0" applyNumberFormat="1" applyAlignment="1" applyProtection="1">
      <alignment/>
      <protection/>
    </xf>
    <xf numFmtId="0" fontId="27" fillId="22" borderId="16" xfId="0" applyFont="1" applyFill="1" applyBorder="1" applyAlignment="1" applyProtection="1">
      <alignment/>
      <protection/>
    </xf>
    <xf numFmtId="0" fontId="0" fillId="22" borderId="16" xfId="0" applyFill="1" applyBorder="1" applyAlignment="1" applyProtection="1">
      <alignment/>
      <protection/>
    </xf>
    <xf numFmtId="0" fontId="0" fillId="22" borderId="16" xfId="0" applyFont="1" applyFill="1" applyBorder="1" applyAlignment="1" applyProtection="1">
      <alignment/>
      <protection/>
    </xf>
    <xf numFmtId="1" fontId="0" fillId="0" borderId="16" xfId="0" applyNumberFormat="1" applyFont="1" applyFill="1" applyBorder="1" applyAlignment="1" applyProtection="1">
      <alignment wrapText="1"/>
      <protection/>
    </xf>
    <xf numFmtId="0" fontId="0" fillId="0" borderId="16" xfId="0" applyFill="1" applyBorder="1" applyAlignment="1" applyProtection="1">
      <alignment horizontal="left" wrapText="1"/>
      <protection/>
    </xf>
    <xf numFmtId="0" fontId="0" fillId="0" borderId="16" xfId="0" applyFill="1" applyBorder="1" applyAlignment="1" applyProtection="1">
      <alignment horizontal="left"/>
      <protection/>
    </xf>
    <xf numFmtId="0" fontId="0" fillId="0" borderId="16" xfId="0" applyFont="1" applyBorder="1" applyAlignment="1" applyProtection="1">
      <alignment horizontal="center" wrapText="1"/>
      <protection/>
    </xf>
    <xf numFmtId="0" fontId="0" fillId="32" borderId="16" xfId="0" applyFont="1" applyFill="1" applyBorder="1" applyAlignment="1" applyProtection="1">
      <alignment horizontal="center" wrapText="1"/>
      <protection/>
    </xf>
    <xf numFmtId="166" fontId="0" fillId="0" borderId="16" xfId="0" applyNumberFormat="1" applyFont="1" applyFill="1" applyBorder="1" applyAlignment="1" applyProtection="1">
      <alignment wrapText="1"/>
      <protection/>
    </xf>
    <xf numFmtId="0" fontId="0" fillId="0" borderId="16" xfId="0" applyFill="1" applyBorder="1" applyAlignment="1" applyProtection="1">
      <alignment horizontal="right"/>
      <protection/>
    </xf>
    <xf numFmtId="0" fontId="25" fillId="0" borderId="16" xfId="0" applyFont="1" applyFill="1" applyBorder="1" applyAlignment="1" applyProtection="1">
      <alignment horizontal="left" vertical="center"/>
      <protection/>
    </xf>
    <xf numFmtId="0" fontId="0" fillId="32" borderId="16" xfId="0" applyFill="1" applyBorder="1" applyAlignment="1" applyProtection="1">
      <alignment horizontal="center"/>
      <protection/>
    </xf>
    <xf numFmtId="0" fontId="0" fillId="32" borderId="16" xfId="0" applyFont="1" applyFill="1" applyBorder="1" applyAlignment="1" applyProtection="1">
      <alignment horizontal="center"/>
      <protection/>
    </xf>
    <xf numFmtId="2" fontId="0" fillId="0" borderId="16" xfId="0" applyNumberFormat="1" applyBorder="1" applyAlignment="1" applyProtection="1">
      <alignment horizontal="center"/>
      <protection/>
    </xf>
    <xf numFmtId="2" fontId="0" fillId="0" borderId="16" xfId="0" applyNumberFormat="1" applyFont="1" applyBorder="1" applyAlignment="1" applyProtection="1">
      <alignment horizontal="center"/>
      <protection/>
    </xf>
    <xf numFmtId="0" fontId="0" fillId="0" borderId="16" xfId="0" applyFont="1" applyBorder="1" applyAlignment="1" applyProtection="1">
      <alignment horizontal="right"/>
      <protection/>
    </xf>
    <xf numFmtId="9" fontId="72" fillId="0" borderId="0" xfId="73" applyFont="1" applyAlignment="1" applyProtection="1">
      <alignment horizontal="left"/>
      <protection/>
    </xf>
    <xf numFmtId="0" fontId="0" fillId="22" borderId="16" xfId="0" applyFont="1" applyFill="1" applyBorder="1" applyAlignment="1" applyProtection="1">
      <alignment/>
      <protection/>
    </xf>
    <xf numFmtId="166" fontId="0" fillId="0" borderId="16" xfId="0" applyNumberFormat="1" applyFont="1" applyFill="1" applyBorder="1" applyAlignment="1" applyProtection="1">
      <alignment/>
      <protection/>
    </xf>
    <xf numFmtId="0" fontId="0" fillId="0" borderId="0" xfId="0" applyFont="1" applyBorder="1" applyAlignment="1" applyProtection="1">
      <alignment horizontal="left"/>
      <protection/>
    </xf>
    <xf numFmtId="0" fontId="0" fillId="0" borderId="93" xfId="0" applyFont="1" applyFill="1" applyBorder="1" applyAlignment="1" applyProtection="1">
      <alignment/>
      <protection/>
    </xf>
    <xf numFmtId="0" fontId="0" fillId="0" borderId="93" xfId="0" applyFont="1" applyFill="1" applyBorder="1" applyAlignment="1" applyProtection="1">
      <alignment horizontal="center"/>
      <protection/>
    </xf>
    <xf numFmtId="9" fontId="0" fillId="0" borderId="93" xfId="73" applyFont="1" applyFill="1" applyBorder="1" applyAlignment="1" applyProtection="1">
      <alignment horizontal="center"/>
      <protection/>
    </xf>
    <xf numFmtId="0" fontId="0" fillId="0" borderId="19" xfId="0" applyFont="1" applyBorder="1" applyAlignment="1" applyProtection="1">
      <alignment horizontal="center"/>
      <protection/>
    </xf>
    <xf numFmtId="0" fontId="0" fillId="0" borderId="0" xfId="0" applyFont="1" applyBorder="1" applyAlignment="1" applyProtection="1">
      <alignment horizontal="center"/>
      <protection/>
    </xf>
    <xf numFmtId="0" fontId="72" fillId="0" borderId="0" xfId="0" applyFont="1" applyAlignment="1" applyProtection="1">
      <alignment horizontal="right"/>
      <protection/>
    </xf>
    <xf numFmtId="0" fontId="0" fillId="0" borderId="0" xfId="0" applyFont="1" applyBorder="1" applyAlignment="1" applyProtection="1">
      <alignment/>
      <protection/>
    </xf>
    <xf numFmtId="1" fontId="27" fillId="0" borderId="0" xfId="0" applyNumberFormat="1" applyFont="1" applyAlignment="1" applyProtection="1">
      <alignment horizontal="left"/>
      <protection/>
    </xf>
    <xf numFmtId="0" fontId="0" fillId="0" borderId="29" xfId="0" applyFont="1" applyBorder="1" applyAlignment="1" applyProtection="1">
      <alignment/>
      <protection/>
    </xf>
    <xf numFmtId="43" fontId="0" fillId="0" borderId="81" xfId="0" applyNumberFormat="1" applyBorder="1" applyAlignment="1" applyProtection="1">
      <alignment/>
      <protection/>
    </xf>
    <xf numFmtId="0" fontId="65" fillId="0" borderId="0" xfId="0" applyFont="1" applyAlignment="1" applyProtection="1">
      <alignment vertical="center"/>
      <protection/>
    </xf>
    <xf numFmtId="0" fontId="65" fillId="0" borderId="0" xfId="0" applyFont="1" applyAlignment="1" applyProtection="1">
      <alignment horizontal="left" vertical="center" indent="4"/>
      <protection/>
    </xf>
    <xf numFmtId="0" fontId="39" fillId="0" borderId="0" xfId="68" applyFont="1" applyFill="1" applyAlignment="1" applyProtection="1">
      <alignment horizontal="center"/>
      <protection/>
    </xf>
    <xf numFmtId="0" fontId="1" fillId="0" borderId="0" xfId="68" applyFill="1" applyProtection="1">
      <alignment/>
      <protection/>
    </xf>
    <xf numFmtId="170" fontId="1" fillId="0" borderId="0" xfId="42" applyNumberFormat="1" applyFont="1" applyFill="1" applyAlignment="1" applyProtection="1">
      <alignment/>
      <protection/>
    </xf>
    <xf numFmtId="9" fontId="1" fillId="0" borderId="0" xfId="73" applyFont="1" applyFill="1" applyAlignment="1" applyProtection="1">
      <alignment/>
      <protection/>
    </xf>
    <xf numFmtId="0" fontId="24" fillId="0" borderId="0" xfId="68" applyFont="1" applyProtection="1">
      <alignment/>
      <protection/>
    </xf>
    <xf numFmtId="0" fontId="0" fillId="0" borderId="27" xfId="0" applyFont="1" applyFill="1" applyBorder="1" applyAlignment="1" applyProtection="1">
      <alignment/>
      <protection/>
    </xf>
    <xf numFmtId="0" fontId="8" fillId="0" borderId="29" xfId="68" applyFont="1" applyBorder="1" applyProtection="1">
      <alignment/>
      <protection/>
    </xf>
    <xf numFmtId="0" fontId="8" fillId="0" borderId="29" xfId="68" applyFont="1" applyFill="1" applyBorder="1" applyProtection="1">
      <alignment/>
      <protection/>
    </xf>
    <xf numFmtId="0" fontId="24" fillId="22" borderId="0" xfId="68" applyFont="1" applyFill="1" applyAlignment="1" applyProtection="1">
      <alignment/>
      <protection/>
    </xf>
    <xf numFmtId="0" fontId="8" fillId="22" borderId="0" xfId="68" applyFont="1" applyFill="1" applyProtection="1">
      <alignment/>
      <protection/>
    </xf>
    <xf numFmtId="168" fontId="8" fillId="0" borderId="0" xfId="68" applyNumberFormat="1" applyFont="1" applyFill="1" applyProtection="1">
      <alignment/>
      <protection/>
    </xf>
    <xf numFmtId="6" fontId="8" fillId="0" borderId="0" xfId="68" applyNumberFormat="1" applyFont="1" applyProtection="1">
      <alignment/>
      <protection/>
    </xf>
    <xf numFmtId="0" fontId="51" fillId="0" borderId="0" xfId="68" applyFont="1" applyProtection="1">
      <alignment/>
      <protection/>
    </xf>
    <xf numFmtId="0" fontId="51" fillId="0" borderId="0" xfId="68" applyFont="1" applyFill="1" applyProtection="1">
      <alignment/>
      <protection/>
    </xf>
    <xf numFmtId="0" fontId="6" fillId="0" borderId="0" xfId="0" applyFont="1" applyAlignment="1" applyProtection="1">
      <alignment/>
      <protection/>
    </xf>
    <xf numFmtId="43" fontId="0" fillId="0" borderId="0" xfId="0" applyNumberFormat="1" applyAlignment="1" applyProtection="1">
      <alignment/>
      <protection/>
    </xf>
    <xf numFmtId="0" fontId="39" fillId="0" borderId="110" xfId="0" applyFont="1" applyBorder="1" applyAlignment="1" applyProtection="1">
      <alignment horizontal="right" wrapText="1"/>
      <protection/>
    </xf>
    <xf numFmtId="171" fontId="1" fillId="24" borderId="20" xfId="42" applyNumberFormat="1" applyFont="1" applyFill="1" applyBorder="1" applyAlignment="1" applyProtection="1">
      <alignment/>
      <protection locked="0"/>
    </xf>
    <xf numFmtId="43" fontId="0" fillId="0" borderId="96" xfId="0" applyNumberFormat="1" applyBorder="1" applyAlignment="1" applyProtection="1">
      <alignment/>
      <protection locked="0"/>
    </xf>
    <xf numFmtId="0" fontId="39" fillId="0" borderId="111" xfId="0" applyFont="1" applyBorder="1" applyAlignment="1" applyProtection="1">
      <alignment horizontal="right" wrapText="1"/>
      <protection locked="0"/>
    </xf>
    <xf numFmtId="43" fontId="0" fillId="0" borderId="111" xfId="0" applyNumberFormat="1" applyBorder="1" applyAlignment="1" applyProtection="1">
      <alignment/>
      <protection locked="0"/>
    </xf>
    <xf numFmtId="43" fontId="1" fillId="7" borderId="16" xfId="42" applyNumberFormat="1" applyFont="1" applyFill="1" applyBorder="1" applyAlignment="1" applyProtection="1">
      <alignment/>
      <protection/>
    </xf>
    <xf numFmtId="43" fontId="1" fillId="24" borderId="20" xfId="42" applyNumberFormat="1" applyFont="1" applyFill="1" applyBorder="1" applyAlignment="1" applyProtection="1">
      <alignment/>
      <protection locked="0"/>
    </xf>
    <xf numFmtId="168" fontId="1" fillId="7" borderId="16" xfId="42" applyNumberFormat="1" applyFont="1" applyFill="1" applyBorder="1" applyAlignment="1" applyProtection="1">
      <alignment/>
      <protection/>
    </xf>
    <xf numFmtId="2" fontId="0" fillId="0" borderId="16" xfId="0" applyNumberFormat="1" applyFont="1" applyFill="1" applyBorder="1" applyAlignment="1" applyProtection="1">
      <alignment horizontal="center"/>
      <protection/>
    </xf>
    <xf numFmtId="0" fontId="0" fillId="0" borderId="46" xfId="0" applyFill="1" applyBorder="1" applyAlignment="1" applyProtection="1">
      <alignment/>
      <protection/>
    </xf>
    <xf numFmtId="0" fontId="27" fillId="32" borderId="0" xfId="0" applyFont="1" applyFill="1" applyAlignment="1">
      <alignment horizontal="left" vertical="top"/>
    </xf>
    <xf numFmtId="0" fontId="0" fillId="0" borderId="0" xfId="0" applyFont="1" applyFill="1" applyBorder="1" applyAlignment="1" applyProtection="1">
      <alignment vertical="top" wrapText="1"/>
      <protection/>
    </xf>
    <xf numFmtId="0" fontId="0" fillId="0" borderId="25" xfId="0" applyFont="1" applyFill="1" applyBorder="1" applyAlignment="1" applyProtection="1">
      <alignment horizontal="left"/>
      <protection/>
    </xf>
    <xf numFmtId="0" fontId="0" fillId="0" borderId="25" xfId="0"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ont="1" applyFill="1" applyBorder="1" applyAlignment="1" applyProtection="1">
      <alignment vertical="top"/>
      <protection/>
    </xf>
    <xf numFmtId="0" fontId="72" fillId="0" borderId="0" xfId="0" applyFont="1" applyBorder="1" applyAlignment="1" applyProtection="1">
      <alignment/>
      <protection/>
    </xf>
    <xf numFmtId="0" fontId="75" fillId="0" borderId="0" xfId="0" applyFont="1" applyAlignment="1" applyProtection="1">
      <alignment/>
      <protection/>
    </xf>
    <xf numFmtId="2" fontId="37" fillId="0" borderId="37" xfId="0" applyNumberFormat="1" applyFont="1" applyFill="1" applyBorder="1" applyAlignment="1" applyProtection="1">
      <alignment vertical="top" wrapText="1"/>
      <protection/>
    </xf>
    <xf numFmtId="2" fontId="37" fillId="0" borderId="0" xfId="0" applyNumberFormat="1" applyFont="1" applyFill="1" applyBorder="1" applyAlignment="1" applyProtection="1">
      <alignment vertical="top" wrapText="1"/>
      <protection/>
    </xf>
    <xf numFmtId="2" fontId="37" fillId="0" borderId="23" xfId="0" applyNumberFormat="1" applyFont="1" applyFill="1" applyBorder="1" applyAlignment="1" applyProtection="1">
      <alignment vertical="top" wrapText="1"/>
      <protection/>
    </xf>
    <xf numFmtId="1" fontId="37" fillId="0" borderId="0" xfId="0" applyNumberFormat="1" applyFont="1" applyFill="1" applyBorder="1" applyAlignment="1" applyProtection="1">
      <alignment vertical="top" wrapText="1"/>
      <protection/>
    </xf>
    <xf numFmtId="0" fontId="0" fillId="24" borderId="26" xfId="0" applyFill="1" applyBorder="1" applyAlignment="1" applyProtection="1">
      <alignment wrapText="1"/>
      <protection locked="0"/>
    </xf>
    <xf numFmtId="0" fontId="0" fillId="6" borderId="20" xfId="0" applyFill="1" applyBorder="1" applyAlignment="1" applyProtection="1">
      <alignment wrapText="1"/>
      <protection locked="0"/>
    </xf>
    <xf numFmtId="0" fontId="31" fillId="0" borderId="28" xfId="0" applyFont="1" applyBorder="1" applyAlignment="1" applyProtection="1">
      <alignment vertical="top"/>
      <protection/>
    </xf>
    <xf numFmtId="0" fontId="31" fillId="0" borderId="29" xfId="0" applyFont="1" applyBorder="1" applyAlignment="1" applyProtection="1">
      <alignment vertical="top"/>
      <protection/>
    </xf>
    <xf numFmtId="0" fontId="31" fillId="0" borderId="30" xfId="0" applyFont="1" applyBorder="1" applyAlignment="1" applyProtection="1">
      <alignment vertical="top"/>
      <protection/>
    </xf>
    <xf numFmtId="170" fontId="0" fillId="0" borderId="34" xfId="42" applyNumberFormat="1" applyFont="1" applyBorder="1" applyAlignment="1" applyProtection="1">
      <alignment horizontal="center"/>
      <protection/>
    </xf>
    <xf numFmtId="170" fontId="0" fillId="0" borderId="89" xfId="42" applyNumberFormat="1" applyFont="1" applyBorder="1" applyAlignment="1" applyProtection="1">
      <alignment horizontal="center"/>
      <protection/>
    </xf>
    <xf numFmtId="0" fontId="37" fillId="24" borderId="0" xfId="0" applyFont="1" applyFill="1" applyBorder="1" applyAlignment="1" applyProtection="1">
      <alignment/>
      <protection locked="0"/>
    </xf>
    <xf numFmtId="0" fontId="37" fillId="24" borderId="0" xfId="0" applyFont="1" applyFill="1" applyBorder="1" applyAlignment="1" applyProtection="1">
      <alignment vertical="top" wrapText="1"/>
      <protection locked="0"/>
    </xf>
    <xf numFmtId="1" fontId="0" fillId="0" borderId="20" xfId="0" applyNumberFormat="1" applyFill="1" applyBorder="1" applyAlignment="1" applyProtection="1">
      <alignment/>
      <protection/>
    </xf>
    <xf numFmtId="0" fontId="0" fillId="0" borderId="40"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27" fillId="0" borderId="20" xfId="0" applyFont="1" applyFill="1" applyBorder="1" applyAlignment="1" applyProtection="1">
      <alignment horizontal="center" vertical="center" wrapText="1"/>
      <protection/>
    </xf>
    <xf numFmtId="170" fontId="3" fillId="0" borderId="20" xfId="42" applyNumberFormat="1" applyFont="1" applyBorder="1" applyAlignment="1" applyProtection="1">
      <alignment/>
      <protection/>
    </xf>
    <xf numFmtId="0" fontId="2"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3" fillId="24" borderId="20" xfId="0" applyFont="1" applyFill="1" applyBorder="1" applyAlignment="1" applyProtection="1">
      <alignment horizontal="center"/>
      <protection locked="0"/>
    </xf>
    <xf numFmtId="0" fontId="3" fillId="24" borderId="112" xfId="0" applyFont="1" applyFill="1" applyBorder="1" applyAlignment="1" applyProtection="1">
      <alignment horizontal="center"/>
      <protection locked="0"/>
    </xf>
    <xf numFmtId="0" fontId="3" fillId="24" borderId="48" xfId="0" applyFont="1" applyFill="1" applyBorder="1" applyAlignment="1" applyProtection="1">
      <alignment horizontal="center"/>
      <protection locked="0"/>
    </xf>
    <xf numFmtId="3" fontId="3" fillId="24" borderId="18" xfId="0" applyNumberFormat="1" applyFont="1" applyFill="1" applyBorder="1" applyAlignment="1" applyProtection="1">
      <alignment vertical="center" wrapText="1"/>
      <protection locked="0"/>
    </xf>
    <xf numFmtId="3" fontId="3" fillId="24" borderId="99" xfId="0" applyNumberFormat="1" applyFont="1" applyFill="1" applyBorder="1" applyAlignment="1" applyProtection="1">
      <alignment vertical="center" wrapText="1"/>
      <protection locked="0"/>
    </xf>
    <xf numFmtId="3" fontId="3" fillId="24" borderId="48" xfId="0" applyNumberFormat="1" applyFont="1" applyFill="1" applyBorder="1" applyAlignment="1" applyProtection="1">
      <alignment vertical="center" wrapText="1"/>
      <protection locked="0"/>
    </xf>
    <xf numFmtId="0" fontId="0" fillId="24" borderId="20" xfId="0" applyFill="1" applyBorder="1" applyAlignment="1" applyProtection="1">
      <alignment/>
      <protection locked="0"/>
    </xf>
    <xf numFmtId="0" fontId="37" fillId="24" borderId="19" xfId="0" applyFont="1" applyFill="1" applyBorder="1" applyAlignment="1" applyProtection="1">
      <alignment vertical="top" wrapText="1"/>
      <protection locked="0"/>
    </xf>
    <xf numFmtId="169" fontId="2" fillId="24" borderId="67" xfId="0" applyNumberFormat="1" applyFont="1" applyFill="1" applyBorder="1" applyAlignment="1" applyProtection="1">
      <alignment horizontal="center" vertical="center" wrapText="1"/>
      <protection locked="0"/>
    </xf>
    <xf numFmtId="169" fontId="2" fillId="24" borderId="67" xfId="0" applyNumberFormat="1" applyFont="1" applyFill="1" applyBorder="1" applyAlignment="1" applyProtection="1">
      <alignment horizontal="center" vertical="center"/>
      <protection locked="0"/>
    </xf>
    <xf numFmtId="0" fontId="2" fillId="24" borderId="113" xfId="0" applyFont="1" applyFill="1" applyBorder="1" applyAlignment="1" applyProtection="1">
      <alignment horizontal="center" vertical="center"/>
      <protection locked="0"/>
    </xf>
    <xf numFmtId="169" fontId="2" fillId="24" borderId="114" xfId="0" applyNumberFormat="1" applyFont="1" applyFill="1" applyBorder="1" applyAlignment="1" applyProtection="1">
      <alignment horizontal="center" vertical="center" wrapText="1"/>
      <protection locked="0"/>
    </xf>
    <xf numFmtId="169" fontId="2" fillId="24" borderId="114" xfId="0" applyNumberFormat="1" applyFont="1" applyFill="1" applyBorder="1" applyAlignment="1" applyProtection="1">
      <alignment horizontal="center" vertical="center"/>
      <protection locked="0"/>
    </xf>
    <xf numFmtId="0" fontId="2" fillId="24" borderId="53" xfId="0" applyFont="1" applyFill="1" applyBorder="1" applyAlignment="1" applyProtection="1">
      <alignment horizontal="center" vertical="center"/>
      <protection locked="0"/>
    </xf>
    <xf numFmtId="169" fontId="2" fillId="24" borderId="16" xfId="0" applyNumberFormat="1" applyFont="1" applyFill="1" applyBorder="1" applyAlignment="1" applyProtection="1">
      <alignment horizontal="center" vertical="center" wrapText="1"/>
      <protection locked="0"/>
    </xf>
    <xf numFmtId="169" fontId="2" fillId="24" borderId="16" xfId="0" applyNumberFormat="1" applyFont="1" applyFill="1" applyBorder="1" applyAlignment="1" applyProtection="1">
      <alignment horizontal="center" vertical="center"/>
      <protection locked="0"/>
    </xf>
    <xf numFmtId="0" fontId="2" fillId="24" borderId="13" xfId="0" applyFont="1" applyFill="1" applyBorder="1" applyAlignment="1" applyProtection="1">
      <alignment horizontal="center" vertical="center"/>
      <protection locked="0"/>
    </xf>
    <xf numFmtId="169" fontId="2" fillId="24" borderId="72" xfId="0" applyNumberFormat="1" applyFont="1" applyFill="1" applyBorder="1" applyAlignment="1" applyProtection="1">
      <alignment horizontal="center" vertical="center" wrapText="1"/>
      <protection locked="0"/>
    </xf>
    <xf numFmtId="169" fontId="2" fillId="24" borderId="72" xfId="0" applyNumberFormat="1" applyFont="1" applyFill="1" applyBorder="1" applyAlignment="1" applyProtection="1">
      <alignment horizontal="center" vertical="center"/>
      <protection locked="0"/>
    </xf>
    <xf numFmtId="0" fontId="2" fillId="24" borderId="105" xfId="0" applyFont="1" applyFill="1" applyBorder="1" applyAlignment="1" applyProtection="1">
      <alignment horizontal="center" vertical="center"/>
      <protection locked="0"/>
    </xf>
    <xf numFmtId="0" fontId="8" fillId="6" borderId="16" xfId="68" applyFont="1" applyFill="1" applyBorder="1" applyProtection="1">
      <alignment/>
      <protection locked="0"/>
    </xf>
    <xf numFmtId="2" fontId="8" fillId="24" borderId="20" xfId="68" applyNumberFormat="1" applyFont="1" applyFill="1" applyBorder="1" applyProtection="1">
      <alignment/>
      <protection locked="0"/>
    </xf>
    <xf numFmtId="192" fontId="1" fillId="6" borderId="16" xfId="48" applyNumberFormat="1" applyFont="1" applyFill="1" applyBorder="1" applyAlignment="1" applyProtection="1">
      <alignment horizontal="center"/>
      <protection locked="0"/>
    </xf>
    <xf numFmtId="0" fontId="1" fillId="24" borderId="20" xfId="69" applyFont="1" applyFill="1" applyBorder="1" applyAlignment="1" applyProtection="1">
      <alignment horizontal="center"/>
      <protection locked="0"/>
    </xf>
    <xf numFmtId="0" fontId="1" fillId="24" borderId="20" xfId="69" applyFill="1" applyBorder="1" applyAlignment="1" applyProtection="1">
      <alignment horizontal="center"/>
      <protection locked="0"/>
    </xf>
    <xf numFmtId="166" fontId="1" fillId="24" borderId="20" xfId="69" applyNumberFormat="1" applyFill="1" applyBorder="1" applyAlignment="1" applyProtection="1">
      <alignment horizontal="center"/>
      <protection locked="0"/>
    </xf>
    <xf numFmtId="0" fontId="1" fillId="33" borderId="115" xfId="69" applyFill="1" applyBorder="1" applyAlignment="1" applyProtection="1">
      <alignment horizontal="center"/>
      <protection locked="0"/>
    </xf>
    <xf numFmtId="0" fontId="1" fillId="33" borderId="80" xfId="69" applyFill="1" applyBorder="1" applyAlignment="1" applyProtection="1">
      <alignment horizontal="center"/>
      <protection locked="0"/>
    </xf>
    <xf numFmtId="0" fontId="1" fillId="33" borderId="111" xfId="69" applyFill="1" applyBorder="1" applyAlignment="1" applyProtection="1">
      <alignment horizontal="center"/>
      <protection locked="0"/>
    </xf>
    <xf numFmtId="0" fontId="0" fillId="24" borderId="16" xfId="0" applyFill="1" applyBorder="1" applyAlignment="1" applyProtection="1">
      <alignment horizontal="right"/>
      <protection locked="0"/>
    </xf>
    <xf numFmtId="0" fontId="0" fillId="24" borderId="20" xfId="0" applyFill="1" applyBorder="1" applyAlignment="1" applyProtection="1">
      <alignment horizontal="right"/>
      <protection locked="0"/>
    </xf>
    <xf numFmtId="0" fontId="0" fillId="24" borderId="48" xfId="0" applyFill="1" applyBorder="1" applyAlignment="1" applyProtection="1">
      <alignment/>
      <protection locked="0"/>
    </xf>
    <xf numFmtId="0" fontId="0" fillId="24" borderId="20" xfId="0" applyFill="1" applyBorder="1" applyAlignment="1" applyProtection="1">
      <alignment horizontal="center"/>
      <protection locked="0"/>
    </xf>
    <xf numFmtId="2" fontId="0" fillId="24" borderId="20" xfId="0" applyNumberFormat="1" applyFill="1" applyBorder="1" applyAlignment="1" applyProtection="1">
      <alignment/>
      <protection locked="0"/>
    </xf>
    <xf numFmtId="0" fontId="0" fillId="33" borderId="16" xfId="0" applyFont="1" applyFill="1" applyBorder="1" applyAlignment="1" applyProtection="1">
      <alignment/>
      <protection locked="0"/>
    </xf>
    <xf numFmtId="0" fontId="0" fillId="24" borderId="26" xfId="0" applyFill="1" applyBorder="1" applyAlignment="1" applyProtection="1">
      <alignment/>
      <protection locked="0"/>
    </xf>
    <xf numFmtId="167" fontId="0" fillId="24" borderId="20" xfId="0" applyNumberFormat="1" applyFill="1" applyBorder="1" applyAlignment="1" applyProtection="1">
      <alignment/>
      <protection locked="0"/>
    </xf>
    <xf numFmtId="167" fontId="0" fillId="24" borderId="20" xfId="0" applyNumberFormat="1" applyFont="1" applyFill="1" applyBorder="1" applyAlignment="1" applyProtection="1">
      <alignment/>
      <protection locked="0"/>
    </xf>
    <xf numFmtId="0" fontId="0" fillId="24" borderId="16" xfId="0" applyFont="1" applyFill="1" applyBorder="1" applyAlignment="1" applyProtection="1">
      <alignment horizontal="left"/>
      <protection locked="0"/>
    </xf>
    <xf numFmtId="0" fontId="37" fillId="24" borderId="16" xfId="0" applyFont="1" applyFill="1" applyBorder="1" applyAlignment="1" applyProtection="1">
      <alignment horizontal="center"/>
      <protection locked="0"/>
    </xf>
    <xf numFmtId="0" fontId="37" fillId="33" borderId="16" xfId="0" applyFont="1" applyFill="1" applyBorder="1" applyAlignment="1" applyProtection="1">
      <alignment horizontal="center"/>
      <protection locked="0"/>
    </xf>
    <xf numFmtId="0" fontId="0" fillId="33" borderId="16" xfId="0" applyFont="1" applyFill="1" applyBorder="1" applyAlignment="1" applyProtection="1">
      <alignment horizontal="center"/>
      <protection locked="0"/>
    </xf>
    <xf numFmtId="0" fontId="0" fillId="24" borderId="16" xfId="0" applyFont="1" applyFill="1" applyBorder="1" applyAlignment="1" applyProtection="1">
      <alignment horizontal="center"/>
      <protection locked="0"/>
    </xf>
    <xf numFmtId="0" fontId="0" fillId="24" borderId="16" xfId="0" applyFill="1" applyBorder="1" applyAlignment="1" applyProtection="1">
      <alignment horizontal="center"/>
      <protection locked="0"/>
    </xf>
    <xf numFmtId="0" fontId="0" fillId="33" borderId="16" xfId="0" applyFill="1" applyBorder="1" applyAlignment="1" applyProtection="1">
      <alignment/>
      <protection locked="0"/>
    </xf>
    <xf numFmtId="0" fontId="0" fillId="24" borderId="16" xfId="0" applyFill="1" applyBorder="1" applyAlignment="1" applyProtection="1">
      <alignment horizontal="center" vertical="center" wrapText="1"/>
      <protection locked="0"/>
    </xf>
    <xf numFmtId="0" fontId="0" fillId="24" borderId="16" xfId="0" applyFont="1" applyFill="1" applyBorder="1" applyAlignment="1" applyProtection="1">
      <alignment horizontal="center" vertical="center" wrapText="1"/>
      <protection locked="0"/>
    </xf>
    <xf numFmtId="0" fontId="27" fillId="24" borderId="16" xfId="67" applyFont="1" applyFill="1" applyBorder="1" applyProtection="1">
      <alignment/>
      <protection locked="0"/>
    </xf>
    <xf numFmtId="0" fontId="0" fillId="24" borderId="16" xfId="67" applyFont="1" applyFill="1" applyBorder="1" applyAlignment="1" applyProtection="1">
      <alignment horizontal="center"/>
      <protection locked="0"/>
    </xf>
    <xf numFmtId="0" fontId="0" fillId="24" borderId="16" xfId="67" applyFont="1" applyFill="1" applyBorder="1" applyAlignment="1" applyProtection="1">
      <alignment horizontal="left"/>
      <protection locked="0"/>
    </xf>
    <xf numFmtId="0" fontId="27" fillId="24" borderId="90" xfId="67" applyFont="1" applyFill="1" applyBorder="1" applyProtection="1">
      <alignment/>
      <protection locked="0"/>
    </xf>
    <xf numFmtId="0" fontId="0" fillId="24" borderId="90" xfId="67" applyFill="1" applyBorder="1" applyProtection="1">
      <alignment/>
      <protection locked="0"/>
    </xf>
    <xf numFmtId="0" fontId="0" fillId="24" borderId="90" xfId="0" applyFill="1" applyBorder="1" applyAlignment="1" applyProtection="1">
      <alignment/>
      <protection locked="0"/>
    </xf>
    <xf numFmtId="0" fontId="0" fillId="24" borderId="16" xfId="0" applyFont="1" applyFill="1" applyBorder="1" applyAlignment="1" applyProtection="1">
      <alignment horizontal="center"/>
      <protection locked="0"/>
    </xf>
    <xf numFmtId="0" fontId="0" fillId="24" borderId="0" xfId="0" applyFill="1" applyAlignment="1" applyProtection="1">
      <alignment/>
      <protection locked="0"/>
    </xf>
    <xf numFmtId="0" fontId="27" fillId="24" borderId="90" xfId="0" applyFont="1" applyFill="1" applyBorder="1" applyAlignment="1" applyProtection="1">
      <alignment/>
      <protection locked="0"/>
    </xf>
    <xf numFmtId="0" fontId="0" fillId="24" borderId="16" xfId="0" applyFill="1" applyBorder="1" applyAlignment="1" applyProtection="1">
      <alignment/>
      <protection locked="0"/>
    </xf>
    <xf numFmtId="0" fontId="0" fillId="24" borderId="0" xfId="0" applyFont="1" applyFill="1" applyAlignment="1" applyProtection="1">
      <alignment horizontal="left"/>
      <protection locked="0"/>
    </xf>
    <xf numFmtId="0" fontId="27" fillId="24" borderId="16" xfId="0" applyFont="1" applyFill="1" applyBorder="1" applyAlignment="1" applyProtection="1">
      <alignment/>
      <protection locked="0"/>
    </xf>
    <xf numFmtId="0" fontId="0" fillId="6" borderId="107" xfId="0" applyFill="1" applyBorder="1" applyAlignment="1" applyProtection="1">
      <alignment/>
      <protection locked="0"/>
    </xf>
    <xf numFmtId="0" fontId="0" fillId="24" borderId="107" xfId="0" applyFill="1" applyBorder="1" applyAlignment="1" applyProtection="1">
      <alignment/>
      <protection locked="0"/>
    </xf>
    <xf numFmtId="166" fontId="0" fillId="6" borderId="16" xfId="0" applyNumberFormat="1" applyFill="1" applyBorder="1" applyAlignment="1" applyProtection="1">
      <alignment/>
      <protection locked="0"/>
    </xf>
    <xf numFmtId="0" fontId="0" fillId="6" borderId="38" xfId="0" applyFill="1" applyBorder="1" applyAlignment="1" applyProtection="1">
      <alignment/>
      <protection locked="0"/>
    </xf>
    <xf numFmtId="9" fontId="0" fillId="6" borderId="16" xfId="0" applyNumberFormat="1" applyFill="1" applyBorder="1" applyAlignment="1" applyProtection="1">
      <alignment/>
      <protection locked="0"/>
    </xf>
    <xf numFmtId="0" fontId="0" fillId="6" borderId="16"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92" xfId="0" applyFill="1" applyBorder="1" applyAlignment="1" applyProtection="1">
      <alignment horizontal="center"/>
      <protection locked="0"/>
    </xf>
    <xf numFmtId="166" fontId="0" fillId="6" borderId="16" xfId="0" applyNumberFormat="1" applyFont="1" applyFill="1" applyBorder="1" applyAlignment="1" applyProtection="1">
      <alignment/>
      <protection locked="0"/>
    </xf>
    <xf numFmtId="171" fontId="1" fillId="24" borderId="20" xfId="42" applyNumberFormat="1" applyFont="1" applyFill="1" applyBorder="1" applyAlignment="1" applyProtection="1">
      <alignment/>
      <protection locked="0"/>
    </xf>
    <xf numFmtId="170" fontId="1" fillId="24" borderId="20" xfId="42" applyNumberFormat="1" applyFont="1" applyFill="1" applyBorder="1" applyAlignment="1" applyProtection="1">
      <alignment/>
      <protection locked="0"/>
    </xf>
    <xf numFmtId="43" fontId="1" fillId="24" borderId="20" xfId="42" applyNumberFormat="1" applyFont="1" applyFill="1" applyBorder="1" applyAlignment="1" applyProtection="1">
      <alignment/>
      <protection locked="0"/>
    </xf>
    <xf numFmtId="9" fontId="1" fillId="24" borderId="20" xfId="73" applyNumberFormat="1" applyFont="1" applyFill="1" applyBorder="1" applyAlignment="1" applyProtection="1">
      <alignment/>
      <protection locked="0"/>
    </xf>
    <xf numFmtId="1" fontId="1" fillId="24" borderId="20" xfId="73" applyNumberFormat="1" applyFont="1" applyFill="1" applyBorder="1" applyAlignment="1" applyProtection="1">
      <alignment/>
      <protection locked="0"/>
    </xf>
    <xf numFmtId="0" fontId="0" fillId="24" borderId="0" xfId="0" applyFont="1" applyFill="1" applyAlignment="1" applyProtection="1">
      <alignment/>
      <protection locked="0"/>
    </xf>
    <xf numFmtId="0" fontId="8" fillId="0" borderId="0" xfId="68" applyFont="1" applyFill="1" applyProtection="1">
      <alignment/>
      <protection locked="0"/>
    </xf>
    <xf numFmtId="0" fontId="8" fillId="24" borderId="0" xfId="68" applyFont="1" applyFill="1" applyProtection="1">
      <alignment/>
      <protection locked="0"/>
    </xf>
    <xf numFmtId="0" fontId="0" fillId="24" borderId="0" xfId="0" applyFont="1" applyFill="1" applyAlignment="1" applyProtection="1" quotePrefix="1">
      <alignment/>
      <protection locked="0"/>
    </xf>
    <xf numFmtId="0" fontId="0" fillId="24" borderId="32" xfId="0" applyFill="1" applyBorder="1" applyAlignment="1" applyProtection="1">
      <alignment/>
      <protection locked="0"/>
    </xf>
    <xf numFmtId="0" fontId="3" fillId="27" borderId="47" xfId="0" applyFont="1" applyFill="1" applyBorder="1" applyAlignment="1" applyProtection="1">
      <alignment horizontal="justify" wrapText="1"/>
      <protection/>
    </xf>
    <xf numFmtId="0" fontId="3" fillId="27" borderId="31" xfId="0" applyFont="1" applyFill="1" applyBorder="1" applyAlignment="1" applyProtection="1">
      <alignment horizontal="justify" wrapText="1"/>
      <protection/>
    </xf>
    <xf numFmtId="0" fontId="3" fillId="24" borderId="40" xfId="0" applyFont="1" applyFill="1" applyBorder="1" applyAlignment="1" applyProtection="1">
      <alignment horizontal="left" wrapText="1"/>
      <protection/>
    </xf>
    <xf numFmtId="0" fontId="3" fillId="24" borderId="23" xfId="0" applyFont="1" applyFill="1" applyBorder="1" applyAlignment="1" applyProtection="1">
      <alignment horizontal="left" wrapText="1"/>
      <protection/>
    </xf>
    <xf numFmtId="0" fontId="27" fillId="32" borderId="0" xfId="0" applyFont="1" applyFill="1" applyAlignment="1">
      <alignment horizontal="left" vertical="top"/>
    </xf>
    <xf numFmtId="1" fontId="37" fillId="0" borderId="37" xfId="0" applyNumberFormat="1" applyFont="1" applyFill="1" applyBorder="1" applyAlignment="1" applyProtection="1">
      <alignment horizontal="center" vertical="top" wrapText="1"/>
      <protection/>
    </xf>
    <xf numFmtId="1" fontId="37" fillId="0" borderId="0" xfId="0" applyNumberFormat="1" applyFont="1" applyFill="1" applyBorder="1" applyAlignment="1" applyProtection="1">
      <alignment horizontal="center" vertical="top" wrapText="1"/>
      <protection/>
    </xf>
    <xf numFmtId="1" fontId="37" fillId="0" borderId="19" xfId="0" applyNumberFormat="1" applyFont="1" applyFill="1" applyBorder="1" applyAlignment="1" applyProtection="1">
      <alignment horizontal="center" vertical="top" wrapText="1"/>
      <protection/>
    </xf>
    <xf numFmtId="1" fontId="37" fillId="0" borderId="37" xfId="0" applyNumberFormat="1" applyFont="1" applyBorder="1" applyAlignment="1" applyProtection="1">
      <alignment horizontal="center"/>
      <protection/>
    </xf>
    <xf numFmtId="1" fontId="37" fillId="0" borderId="0" xfId="0" applyNumberFormat="1" applyFont="1" applyBorder="1" applyAlignment="1" applyProtection="1">
      <alignment horizontal="center"/>
      <protection/>
    </xf>
    <xf numFmtId="1" fontId="37" fillId="0" borderId="23" xfId="0" applyNumberFormat="1" applyFont="1" applyBorder="1" applyAlignment="1" applyProtection="1">
      <alignment horizontal="center"/>
      <protection/>
    </xf>
    <xf numFmtId="0" fontId="37" fillId="24" borderId="37" xfId="0" applyFont="1" applyFill="1" applyBorder="1" applyAlignment="1" applyProtection="1">
      <alignment horizontal="center" vertical="top" wrapText="1"/>
      <protection locked="0"/>
    </xf>
    <xf numFmtId="0" fontId="37" fillId="24" borderId="0" xfId="0" applyFont="1" applyFill="1" applyBorder="1" applyAlignment="1" applyProtection="1">
      <alignment horizontal="center" vertical="top" wrapText="1"/>
      <protection locked="0"/>
    </xf>
    <xf numFmtId="0" fontId="37" fillId="24" borderId="19" xfId="0" applyFont="1" applyFill="1" applyBorder="1" applyAlignment="1" applyProtection="1">
      <alignment horizontal="center" vertical="top" wrapText="1"/>
      <protection locked="0"/>
    </xf>
    <xf numFmtId="0" fontId="37" fillId="24" borderId="37" xfId="0" applyFont="1" applyFill="1" applyBorder="1" applyAlignment="1" applyProtection="1">
      <alignment horizontal="center"/>
      <protection locked="0"/>
    </xf>
    <xf numFmtId="0" fontId="37" fillId="24" borderId="0" xfId="0" applyFont="1" applyFill="1" applyBorder="1" applyAlignment="1" applyProtection="1">
      <alignment horizontal="center"/>
      <protection locked="0"/>
    </xf>
    <xf numFmtId="0" fontId="37" fillId="24" borderId="23" xfId="0" applyFont="1" applyFill="1" applyBorder="1" applyAlignment="1" applyProtection="1">
      <alignment horizontal="center"/>
      <protection locked="0"/>
    </xf>
    <xf numFmtId="9" fontId="27" fillId="0" borderId="27" xfId="73" applyFont="1" applyFill="1" applyBorder="1" applyAlignment="1" applyProtection="1">
      <alignment horizontal="center"/>
      <protection/>
    </xf>
    <xf numFmtId="9" fontId="27" fillId="0" borderId="26" xfId="73" applyFont="1" applyFill="1" applyBorder="1" applyAlignment="1" applyProtection="1">
      <alignment horizontal="center"/>
      <protection/>
    </xf>
    <xf numFmtId="166" fontId="37" fillId="0" borderId="37" xfId="0" applyNumberFormat="1" applyFont="1" applyBorder="1" applyAlignment="1" applyProtection="1">
      <alignment horizontal="right"/>
      <protection/>
    </xf>
    <xf numFmtId="166" fontId="37" fillId="0" borderId="0" xfId="0" applyNumberFormat="1" applyFont="1" applyBorder="1" applyAlignment="1" applyProtection="1">
      <alignment horizontal="right"/>
      <protection/>
    </xf>
    <xf numFmtId="0" fontId="37" fillId="0" borderId="0" xfId="0" applyFont="1" applyFill="1" applyBorder="1" applyAlignment="1" applyProtection="1">
      <alignment horizontal="left"/>
      <protection/>
    </xf>
    <xf numFmtId="0" fontId="37" fillId="0" borderId="23" xfId="0" applyFont="1" applyFill="1" applyBorder="1" applyAlignment="1" applyProtection="1">
      <alignment horizontal="left"/>
      <protection/>
    </xf>
    <xf numFmtId="165" fontId="37" fillId="0" borderId="55" xfId="73" applyNumberFormat="1" applyFont="1" applyFill="1" applyBorder="1" applyAlignment="1" applyProtection="1">
      <alignment horizontal="center"/>
      <protection/>
    </xf>
    <xf numFmtId="165" fontId="37" fillId="0" borderId="108" xfId="73" applyNumberFormat="1" applyFont="1" applyFill="1" applyBorder="1" applyAlignment="1" applyProtection="1">
      <alignment horizontal="center"/>
      <protection/>
    </xf>
    <xf numFmtId="165" fontId="37" fillId="0" borderId="86" xfId="73" applyNumberFormat="1" applyFont="1" applyFill="1" applyBorder="1" applyAlignment="1" applyProtection="1">
      <alignment horizontal="center"/>
      <protection/>
    </xf>
    <xf numFmtId="165" fontId="37" fillId="0" borderId="96" xfId="73" applyNumberFormat="1" applyFont="1" applyFill="1" applyBorder="1" applyAlignment="1" applyProtection="1">
      <alignment horizontal="center"/>
      <protection/>
    </xf>
    <xf numFmtId="3" fontId="37" fillId="0" borderId="37" xfId="0" applyNumberFormat="1" applyFont="1" applyFill="1" applyBorder="1" applyAlignment="1" applyProtection="1">
      <alignment horizontal="center" vertical="top" wrapText="1"/>
      <protection/>
    </xf>
    <xf numFmtId="3" fontId="37" fillId="0" borderId="19" xfId="0" applyNumberFormat="1" applyFont="1" applyFill="1" applyBorder="1" applyAlignment="1" applyProtection="1">
      <alignment horizontal="center" vertical="top" wrapText="1"/>
      <protection/>
    </xf>
    <xf numFmtId="0" fontId="37" fillId="6" borderId="37" xfId="0" applyFont="1" applyFill="1" applyBorder="1" applyAlignment="1" applyProtection="1">
      <alignment horizontal="center"/>
      <protection locked="0"/>
    </xf>
    <xf numFmtId="0" fontId="37" fillId="6" borderId="0" xfId="0" applyFont="1" applyFill="1" applyBorder="1" applyAlignment="1" applyProtection="1">
      <alignment horizontal="center"/>
      <protection locked="0"/>
    </xf>
    <xf numFmtId="0" fontId="37" fillId="6" borderId="23" xfId="0" applyFont="1" applyFill="1" applyBorder="1" applyAlignment="1" applyProtection="1">
      <alignment horizontal="center"/>
      <protection locked="0"/>
    </xf>
    <xf numFmtId="165" fontId="37" fillId="0" borderId="37" xfId="73" applyNumberFormat="1" applyFont="1" applyFill="1" applyBorder="1" applyAlignment="1" applyProtection="1">
      <alignment horizontal="center"/>
      <protection/>
    </xf>
    <xf numFmtId="165" fontId="37" fillId="0" borderId="23" xfId="73" applyNumberFormat="1" applyFont="1" applyFill="1" applyBorder="1" applyAlignment="1" applyProtection="1">
      <alignment horizontal="center"/>
      <protection/>
    </xf>
    <xf numFmtId="0" fontId="12" fillId="21" borderId="47" xfId="0" applyFont="1" applyFill="1" applyBorder="1" applyAlignment="1" applyProtection="1">
      <alignment horizontal="center" wrapText="1"/>
      <protection/>
    </xf>
    <xf numFmtId="0" fontId="12" fillId="21" borderId="31" xfId="0" applyFont="1" applyFill="1" applyBorder="1" applyAlignment="1" applyProtection="1">
      <alignment horizontal="center" wrapText="1"/>
      <protection/>
    </xf>
    <xf numFmtId="0" fontId="12" fillId="21" borderId="28" xfId="0" applyFont="1" applyFill="1" applyBorder="1" applyAlignment="1" applyProtection="1">
      <alignment horizontal="center" wrapText="1"/>
      <protection/>
    </xf>
    <xf numFmtId="0" fontId="12" fillId="21" borderId="30" xfId="0" applyFont="1" applyFill="1" applyBorder="1" applyAlignment="1" applyProtection="1">
      <alignment horizontal="center" wrapText="1"/>
      <protection/>
    </xf>
    <xf numFmtId="9" fontId="32" fillId="0" borderId="27" xfId="73" applyFont="1" applyFill="1" applyBorder="1" applyAlignment="1" applyProtection="1">
      <alignment horizontal="center"/>
      <protection/>
    </xf>
    <xf numFmtId="9" fontId="32" fillId="0" borderId="26" xfId="73" applyFont="1" applyFill="1" applyBorder="1" applyAlignment="1" applyProtection="1">
      <alignment horizontal="center"/>
      <protection/>
    </xf>
    <xf numFmtId="9" fontId="0" fillId="0" borderId="40" xfId="73" applyFont="1" applyFill="1" applyBorder="1" applyAlignment="1" applyProtection="1">
      <alignment horizontal="center"/>
      <protection/>
    </xf>
    <xf numFmtId="9" fontId="0" fillId="0" borderId="23" xfId="73" applyFont="1" applyFill="1" applyBorder="1" applyAlignment="1" applyProtection="1">
      <alignment horizontal="center"/>
      <protection/>
    </xf>
    <xf numFmtId="9" fontId="0" fillId="0" borderId="27" xfId="73" applyFont="1" applyFill="1" applyBorder="1" applyAlignment="1" applyProtection="1">
      <alignment horizontal="center"/>
      <protection/>
    </xf>
    <xf numFmtId="9" fontId="0" fillId="0" borderId="26" xfId="73" applyFont="1" applyFill="1" applyBorder="1" applyAlignment="1" applyProtection="1">
      <alignment horizontal="center"/>
      <protection/>
    </xf>
    <xf numFmtId="9" fontId="37" fillId="0" borderId="86" xfId="73" applyFont="1" applyFill="1" applyBorder="1" applyAlignment="1" applyProtection="1">
      <alignment horizontal="center"/>
      <protection/>
    </xf>
    <xf numFmtId="9" fontId="37" fillId="0" borderId="54" xfId="73" applyFont="1" applyFill="1" applyBorder="1" applyAlignment="1" applyProtection="1">
      <alignment horizontal="center"/>
      <protection/>
    </xf>
    <xf numFmtId="9" fontId="37" fillId="0" borderId="37" xfId="73" applyFont="1" applyFill="1" applyBorder="1" applyAlignment="1" applyProtection="1">
      <alignment horizontal="center"/>
      <protection/>
    </xf>
    <xf numFmtId="9" fontId="37" fillId="0" borderId="19" xfId="73" applyFont="1" applyFill="1" applyBorder="1" applyAlignment="1" applyProtection="1">
      <alignment horizontal="center"/>
      <protection/>
    </xf>
    <xf numFmtId="0" fontId="0" fillId="20" borderId="116" xfId="0" applyFont="1" applyFill="1" applyBorder="1" applyAlignment="1" applyProtection="1">
      <alignment horizontal="left" wrapText="1"/>
      <protection/>
    </xf>
    <xf numFmtId="0" fontId="0" fillId="0" borderId="82" xfId="0" applyBorder="1" applyAlignment="1" applyProtection="1">
      <alignment horizontal="left" wrapText="1"/>
      <protection/>
    </xf>
    <xf numFmtId="0" fontId="0" fillId="0" borderId="81" xfId="0" applyBorder="1" applyAlignment="1" applyProtection="1">
      <alignment horizontal="left" wrapText="1"/>
      <protection/>
    </xf>
    <xf numFmtId="0" fontId="0" fillId="0" borderId="106" xfId="0" applyFont="1" applyFill="1" applyBorder="1" applyAlignment="1" applyProtection="1">
      <alignment horizontal="left" vertical="top" wrapText="1"/>
      <protection/>
    </xf>
    <xf numFmtId="0" fontId="0" fillId="0" borderId="44"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20" borderId="82" xfId="0" applyFont="1" applyFill="1" applyBorder="1" applyAlignment="1" applyProtection="1">
      <alignment horizontal="left" wrapText="1"/>
      <protection/>
    </xf>
    <xf numFmtId="0" fontId="0" fillId="20" borderId="81" xfId="0" applyFont="1" applyFill="1" applyBorder="1" applyAlignment="1" applyProtection="1">
      <alignment horizontal="left" wrapText="1"/>
      <protection/>
    </xf>
    <xf numFmtId="0" fontId="0" fillId="0" borderId="93" xfId="0" applyFont="1" applyFill="1" applyBorder="1" applyAlignment="1" applyProtection="1">
      <alignment horizontal="left" vertical="top" wrapText="1"/>
      <protection/>
    </xf>
    <xf numFmtId="0" fontId="0" fillId="0" borderId="54" xfId="0" applyFont="1" applyFill="1" applyBorder="1" applyAlignment="1" applyProtection="1">
      <alignment horizontal="left" vertical="top" wrapText="1"/>
      <protection/>
    </xf>
    <xf numFmtId="3" fontId="37" fillId="24" borderId="86" xfId="0" applyNumberFormat="1" applyFont="1" applyFill="1" applyBorder="1" applyAlignment="1" applyProtection="1">
      <alignment horizontal="center" vertical="top" wrapText="1"/>
      <protection locked="0"/>
    </xf>
    <xf numFmtId="3" fontId="37" fillId="24" borderId="54" xfId="0" applyNumberFormat="1" applyFont="1" applyFill="1" applyBorder="1" applyAlignment="1" applyProtection="1">
      <alignment horizontal="center" vertical="top" wrapText="1"/>
      <protection locked="0"/>
    </xf>
    <xf numFmtId="0" fontId="0" fillId="0" borderId="19" xfId="0" applyFont="1" applyFill="1" applyBorder="1" applyAlignment="1" applyProtection="1">
      <alignment horizontal="left" vertical="top" wrapText="1"/>
      <protection/>
    </xf>
    <xf numFmtId="0" fontId="29" fillId="0" borderId="29" xfId="0" applyFont="1" applyFill="1" applyBorder="1" applyAlignment="1" applyProtection="1">
      <alignment horizontal="left" vertical="top" wrapText="1"/>
      <protection/>
    </xf>
    <xf numFmtId="0" fontId="29" fillId="0" borderId="100" xfId="0" applyFont="1" applyFill="1" applyBorder="1" applyAlignment="1" applyProtection="1">
      <alignment horizontal="left" vertical="top" wrapText="1"/>
      <protection/>
    </xf>
    <xf numFmtId="0" fontId="29" fillId="0" borderId="0" xfId="0" applyFont="1" applyFill="1" applyBorder="1" applyAlignment="1" applyProtection="1">
      <alignment horizontal="left" vertical="top" wrapText="1"/>
      <protection/>
    </xf>
    <xf numFmtId="0" fontId="29" fillId="0" borderId="19" xfId="0" applyFont="1" applyFill="1" applyBorder="1" applyAlignment="1" applyProtection="1">
      <alignment horizontal="left" vertical="top" wrapText="1"/>
      <protection/>
    </xf>
    <xf numFmtId="0" fontId="37" fillId="0" borderId="37" xfId="0" applyFont="1" applyFill="1" applyBorder="1" applyAlignment="1" applyProtection="1">
      <alignment horizontal="center" vertical="top" wrapText="1"/>
      <protection/>
    </xf>
    <xf numFmtId="0" fontId="37" fillId="0" borderId="0" xfId="0" applyFont="1" applyFill="1" applyBorder="1" applyAlignment="1" applyProtection="1">
      <alignment horizontal="center" vertical="top" wrapText="1"/>
      <protection/>
    </xf>
    <xf numFmtId="0" fontId="37" fillId="0" borderId="19"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0" fontId="0" fillId="0" borderId="110" xfId="0" applyFont="1" applyFill="1" applyBorder="1" applyAlignment="1" applyProtection="1">
      <alignment horizontal="left" vertical="top" wrapText="1"/>
      <protection/>
    </xf>
    <xf numFmtId="2" fontId="37" fillId="24" borderId="37" xfId="0" applyNumberFormat="1" applyFont="1" applyFill="1" applyBorder="1" applyAlignment="1" applyProtection="1">
      <alignment horizontal="center"/>
      <protection locked="0"/>
    </xf>
    <xf numFmtId="2" fontId="37" fillId="24" borderId="0" xfId="0" applyNumberFormat="1" applyFont="1" applyFill="1" applyBorder="1" applyAlignment="1" applyProtection="1">
      <alignment horizontal="center"/>
      <protection locked="0"/>
    </xf>
    <xf numFmtId="2" fontId="37" fillId="24" borderId="23" xfId="0" applyNumberFormat="1" applyFont="1" applyFill="1" applyBorder="1" applyAlignment="1" applyProtection="1">
      <alignment horizontal="center"/>
      <protection locked="0"/>
    </xf>
    <xf numFmtId="0" fontId="37" fillId="24" borderId="55" xfId="0" applyFont="1" applyFill="1" applyBorder="1" applyAlignment="1" applyProtection="1">
      <alignment horizontal="center" vertical="top" wrapText="1"/>
      <protection locked="0"/>
    </xf>
    <xf numFmtId="0" fontId="37" fillId="24" borderId="91" xfId="0" applyFont="1" applyFill="1" applyBorder="1" applyAlignment="1" applyProtection="1">
      <alignment horizontal="center" vertical="top" wrapText="1"/>
      <protection locked="0"/>
    </xf>
    <xf numFmtId="0" fontId="37" fillId="24" borderId="108" xfId="0" applyFont="1" applyFill="1" applyBorder="1" applyAlignment="1" applyProtection="1">
      <alignment horizontal="center" vertical="top" wrapText="1"/>
      <protection locked="0"/>
    </xf>
    <xf numFmtId="0" fontId="37" fillId="24" borderId="86" xfId="0" applyFont="1" applyFill="1" applyBorder="1" applyAlignment="1" applyProtection="1">
      <alignment horizontal="center"/>
      <protection locked="0"/>
    </xf>
    <xf numFmtId="0" fontId="37" fillId="24" borderId="93" xfId="0" applyFont="1" applyFill="1" applyBorder="1" applyAlignment="1" applyProtection="1">
      <alignment horizontal="center"/>
      <protection locked="0"/>
    </xf>
    <xf numFmtId="0" fontId="37" fillId="24" borderId="96" xfId="0" applyFont="1" applyFill="1" applyBorder="1" applyAlignment="1" applyProtection="1">
      <alignment horizontal="center"/>
      <protection locked="0"/>
    </xf>
    <xf numFmtId="0" fontId="0" fillId="0" borderId="19" xfId="0" applyFont="1" applyFill="1" applyBorder="1" applyAlignment="1" applyProtection="1">
      <alignment horizontal="left" vertical="top" wrapText="1"/>
      <protection/>
    </xf>
    <xf numFmtId="0" fontId="0" fillId="0" borderId="0" xfId="0" applyFont="1" applyFill="1" applyBorder="1" applyAlignment="1" applyProtection="1">
      <alignment vertical="top" wrapText="1"/>
      <protection/>
    </xf>
    <xf numFmtId="0" fontId="0" fillId="0" borderId="19" xfId="0" applyBorder="1" applyAlignment="1" applyProtection="1">
      <alignment/>
      <protection/>
    </xf>
    <xf numFmtId="0" fontId="0" fillId="20" borderId="92" xfId="0" applyFont="1" applyFill="1" applyBorder="1" applyAlignment="1" applyProtection="1">
      <alignment horizontal="left" vertical="top" wrapText="1"/>
      <protection/>
    </xf>
    <xf numFmtId="0" fontId="0" fillId="20" borderId="16" xfId="0" applyFont="1" applyFill="1" applyBorder="1" applyAlignment="1" applyProtection="1">
      <alignment horizontal="left" vertical="top" wrapText="1"/>
      <protection/>
    </xf>
    <xf numFmtId="0" fontId="0" fillId="20" borderId="13" xfId="0" applyFont="1" applyFill="1" applyBorder="1" applyAlignment="1" applyProtection="1">
      <alignment horizontal="left" vertical="top" wrapText="1"/>
      <protection/>
    </xf>
    <xf numFmtId="0" fontId="37" fillId="0" borderId="0" xfId="0" applyFont="1" applyBorder="1" applyAlignment="1" applyProtection="1">
      <alignment horizontal="center"/>
      <protection/>
    </xf>
    <xf numFmtId="0" fontId="37" fillId="0" borderId="23" xfId="0" applyFont="1" applyBorder="1" applyAlignment="1" applyProtection="1">
      <alignment horizontal="center"/>
      <protection/>
    </xf>
    <xf numFmtId="0" fontId="0" fillId="0" borderId="40"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0" fillId="0" borderId="25" xfId="0" applyFont="1" applyFill="1" applyBorder="1" applyAlignment="1" applyProtection="1">
      <alignment horizontal="left" vertical="top" wrapText="1"/>
      <protection/>
    </xf>
    <xf numFmtId="0" fontId="0" fillId="0" borderId="26" xfId="0" applyFont="1" applyFill="1" applyBorder="1" applyAlignment="1" applyProtection="1">
      <alignment horizontal="left" vertical="top" wrapText="1"/>
      <protection/>
    </xf>
    <xf numFmtId="0" fontId="12" fillId="21" borderId="25" xfId="0" applyFont="1" applyFill="1" applyBorder="1" applyAlignment="1" applyProtection="1">
      <alignment horizontal="center"/>
      <protection/>
    </xf>
    <xf numFmtId="0" fontId="12" fillId="21" borderId="26" xfId="0" applyFont="1" applyFill="1" applyBorder="1" applyAlignment="1" applyProtection="1">
      <alignment horizontal="center"/>
      <protection/>
    </xf>
    <xf numFmtId="0" fontId="0" fillId="0" borderId="47" xfId="0" applyFont="1" applyFill="1" applyBorder="1" applyAlignment="1" applyProtection="1">
      <alignment horizontal="left"/>
      <protection/>
    </xf>
    <xf numFmtId="0" fontId="0" fillId="0" borderId="31" xfId="0" applyFont="1" applyFill="1" applyBorder="1" applyAlignment="1" applyProtection="1">
      <alignment horizontal="left"/>
      <protection/>
    </xf>
    <xf numFmtId="0" fontId="0" fillId="0" borderId="27" xfId="0" applyFont="1" applyFill="1" applyBorder="1" applyAlignment="1" applyProtection="1">
      <alignment horizontal="left"/>
      <protection/>
    </xf>
    <xf numFmtId="0" fontId="0" fillId="0" borderId="26" xfId="0" applyFont="1" applyFill="1" applyBorder="1" applyAlignment="1" applyProtection="1">
      <alignment horizontal="left"/>
      <protection/>
    </xf>
    <xf numFmtId="0" fontId="0" fillId="0" borderId="26" xfId="0" applyFill="1" applyBorder="1" applyAlignment="1" applyProtection="1">
      <alignment horizontal="left"/>
      <protection/>
    </xf>
    <xf numFmtId="0" fontId="0" fillId="0" borderId="29" xfId="0" applyFont="1" applyFill="1" applyBorder="1" applyAlignment="1" applyProtection="1">
      <alignment horizontal="left"/>
      <protection/>
    </xf>
    <xf numFmtId="0" fontId="0" fillId="0" borderId="30" xfId="0" applyFill="1" applyBorder="1" applyAlignment="1" applyProtection="1">
      <alignment horizontal="left"/>
      <protection/>
    </xf>
    <xf numFmtId="0" fontId="0" fillId="0" borderId="29"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0" fontId="0" fillId="0" borderId="110" xfId="0" applyFont="1" applyFill="1" applyBorder="1" applyAlignment="1" applyProtection="1">
      <alignment horizontal="left" vertical="top"/>
      <protection/>
    </xf>
    <xf numFmtId="0" fontId="0" fillId="0" borderId="54" xfId="0" applyFont="1" applyFill="1" applyBorder="1" applyAlignment="1" applyProtection="1">
      <alignment horizontal="left" vertical="top"/>
      <protection/>
    </xf>
    <xf numFmtId="0" fontId="0" fillId="21" borderId="85" xfId="0" applyFont="1" applyFill="1" applyBorder="1" applyAlignment="1" applyProtection="1">
      <alignment horizontal="center" vertical="center" wrapText="1"/>
      <protection/>
    </xf>
    <xf numFmtId="0" fontId="0" fillId="21" borderId="50" xfId="0" applyFont="1" applyFill="1" applyBorder="1" applyAlignment="1" applyProtection="1">
      <alignment horizontal="center" vertical="center" wrapText="1"/>
      <protection/>
    </xf>
    <xf numFmtId="3" fontId="37" fillId="0" borderId="86" xfId="0" applyNumberFormat="1" applyFont="1" applyFill="1" applyBorder="1" applyAlignment="1" applyProtection="1">
      <alignment horizontal="center" vertical="top" wrapText="1"/>
      <protection/>
    </xf>
    <xf numFmtId="3" fontId="37" fillId="0" borderId="54" xfId="0" applyNumberFormat="1" applyFont="1" applyFill="1" applyBorder="1" applyAlignment="1" applyProtection="1">
      <alignment horizontal="center" vertical="top" wrapText="1"/>
      <protection/>
    </xf>
    <xf numFmtId="2" fontId="37" fillId="0" borderId="37" xfId="0" applyNumberFormat="1" applyFont="1" applyFill="1" applyBorder="1" applyAlignment="1" applyProtection="1">
      <alignment horizontal="center" vertical="top" wrapText="1"/>
      <protection/>
    </xf>
    <xf numFmtId="2" fontId="0" fillId="0" borderId="0" xfId="0" applyNumberFormat="1" applyBorder="1" applyAlignment="1" applyProtection="1">
      <alignment horizontal="center"/>
      <protection/>
    </xf>
    <xf numFmtId="2" fontId="0" fillId="0" borderId="19" xfId="0" applyNumberFormat="1" applyBorder="1" applyAlignment="1" applyProtection="1">
      <alignment horizontal="center"/>
      <protection/>
    </xf>
    <xf numFmtId="0" fontId="0" fillId="20" borderId="82" xfId="0" applyFont="1" applyFill="1" applyBorder="1" applyAlignment="1" applyProtection="1">
      <alignment horizontal="left" vertical="top" wrapText="1"/>
      <protection/>
    </xf>
    <xf numFmtId="0" fontId="0" fillId="20" borderId="81" xfId="0" applyFont="1" applyFill="1" applyBorder="1" applyAlignment="1" applyProtection="1">
      <alignment horizontal="left" vertical="top" wrapText="1"/>
      <protection/>
    </xf>
    <xf numFmtId="0" fontId="37" fillId="0" borderId="86" xfId="0" applyFont="1" applyFill="1" applyBorder="1" applyAlignment="1" applyProtection="1">
      <alignment horizontal="center" vertical="top" wrapText="1"/>
      <protection locked="0"/>
    </xf>
    <xf numFmtId="0" fontId="37" fillId="0" borderId="93" xfId="0" applyFont="1" applyFill="1" applyBorder="1" applyAlignment="1" applyProtection="1">
      <alignment horizontal="center" vertical="top" wrapText="1"/>
      <protection locked="0"/>
    </xf>
    <xf numFmtId="0" fontId="37" fillId="0" borderId="54" xfId="0" applyFont="1" applyFill="1" applyBorder="1" applyAlignment="1" applyProtection="1">
      <alignment horizontal="center" vertical="top" wrapText="1"/>
      <protection locked="0"/>
    </xf>
    <xf numFmtId="0" fontId="0" fillId="21" borderId="85" xfId="0" applyFont="1" applyFill="1" applyBorder="1" applyAlignment="1" applyProtection="1">
      <alignment horizontal="center" vertical="center" wrapText="1"/>
      <protection/>
    </xf>
    <xf numFmtId="0" fontId="0" fillId="21" borderId="83" xfId="0" applyFont="1" applyFill="1" applyBorder="1" applyAlignment="1" applyProtection="1">
      <alignment horizontal="center" vertical="center" wrapText="1"/>
      <protection/>
    </xf>
    <xf numFmtId="0" fontId="37" fillId="24" borderId="44" xfId="0" applyFont="1" applyFill="1" applyBorder="1" applyAlignment="1" applyProtection="1">
      <alignment horizontal="center" vertical="top" wrapText="1"/>
      <protection locked="0"/>
    </xf>
    <xf numFmtId="0" fontId="0" fillId="21" borderId="43" xfId="0" applyFont="1" applyFill="1" applyBorder="1" applyAlignment="1" applyProtection="1">
      <alignment horizontal="center" vertical="center" wrapText="1"/>
      <protection/>
    </xf>
    <xf numFmtId="0" fontId="37" fillId="6" borderId="87" xfId="0" applyFont="1" applyFill="1" applyBorder="1" applyAlignment="1" applyProtection="1">
      <alignment horizontal="center" vertical="top" wrapText="1"/>
      <protection locked="0"/>
    </xf>
    <xf numFmtId="0" fontId="37" fillId="6" borderId="29" xfId="0" applyFont="1" applyFill="1" applyBorder="1" applyAlignment="1" applyProtection="1">
      <alignment horizontal="center" vertical="top" wrapText="1"/>
      <protection locked="0"/>
    </xf>
    <xf numFmtId="0" fontId="37" fillId="6" borderId="100" xfId="0" applyFont="1" applyFill="1" applyBorder="1" applyAlignment="1" applyProtection="1">
      <alignment horizontal="center" vertical="top" wrapText="1"/>
      <protection locked="0"/>
    </xf>
    <xf numFmtId="0" fontId="37" fillId="6" borderId="37" xfId="0" applyFont="1" applyFill="1" applyBorder="1" applyAlignment="1" applyProtection="1">
      <alignment horizontal="center" vertical="top" wrapText="1"/>
      <protection locked="0"/>
    </xf>
    <xf numFmtId="0" fontId="37" fillId="6" borderId="0" xfId="0" applyFont="1" applyFill="1" applyBorder="1" applyAlignment="1" applyProtection="1">
      <alignment horizontal="center" vertical="top" wrapText="1"/>
      <protection locked="0"/>
    </xf>
    <xf numFmtId="0" fontId="37" fillId="6" borderId="19" xfId="0" applyFont="1" applyFill="1" applyBorder="1" applyAlignment="1" applyProtection="1">
      <alignment horizontal="center" vertical="top" wrapText="1"/>
      <protection locked="0"/>
    </xf>
    <xf numFmtId="0" fontId="37" fillId="6" borderId="87" xfId="0" applyFont="1" applyFill="1" applyBorder="1" applyAlignment="1" applyProtection="1">
      <alignment horizontal="center"/>
      <protection locked="0"/>
    </xf>
    <xf numFmtId="0" fontId="37" fillId="6" borderId="29" xfId="0" applyFont="1" applyFill="1" applyBorder="1" applyAlignment="1" applyProtection="1">
      <alignment horizontal="center"/>
      <protection locked="0"/>
    </xf>
    <xf numFmtId="0" fontId="37" fillId="6" borderId="30" xfId="0" applyFont="1" applyFill="1" applyBorder="1" applyAlignment="1" applyProtection="1">
      <alignment horizontal="center"/>
      <protection locked="0"/>
    </xf>
    <xf numFmtId="0" fontId="0" fillId="20" borderId="40" xfId="0" applyFont="1" applyFill="1" applyBorder="1" applyAlignment="1" applyProtection="1">
      <alignment horizontal="left" vertical="top" wrapText="1"/>
      <protection/>
    </xf>
    <xf numFmtId="0" fontId="0" fillId="20" borderId="0" xfId="0" applyFont="1" applyFill="1" applyBorder="1" applyAlignment="1" applyProtection="1">
      <alignment horizontal="left" vertical="top" wrapText="1"/>
      <protection/>
    </xf>
    <xf numFmtId="0" fontId="0" fillId="0" borderId="23" xfId="0" applyBorder="1" applyAlignment="1" applyProtection="1">
      <alignment horizontal="left" vertical="top" wrapText="1"/>
      <protection/>
    </xf>
    <xf numFmtId="166" fontId="37" fillId="0" borderId="0" xfId="0" applyNumberFormat="1" applyFont="1" applyFill="1" applyBorder="1" applyAlignment="1" applyProtection="1">
      <alignment horizontal="left" vertical="top" wrapText="1"/>
      <protection/>
    </xf>
    <xf numFmtId="166" fontId="37" fillId="0" borderId="19" xfId="0" applyNumberFormat="1" applyFont="1" applyFill="1" applyBorder="1" applyAlignment="1" applyProtection="1">
      <alignment horizontal="left" vertical="top" wrapText="1"/>
      <protection/>
    </xf>
    <xf numFmtId="166" fontId="37" fillId="0" borderId="37" xfId="0" applyNumberFormat="1" applyFont="1" applyFill="1" applyBorder="1" applyAlignment="1" applyProtection="1">
      <alignment horizontal="right"/>
      <protection/>
    </xf>
    <xf numFmtId="166" fontId="37" fillId="0" borderId="0" xfId="0" applyNumberFormat="1" applyFont="1" applyFill="1" applyBorder="1" applyAlignment="1" applyProtection="1">
      <alignment horizontal="right"/>
      <protection/>
    </xf>
    <xf numFmtId="0" fontId="37" fillId="0" borderId="37" xfId="0" applyFont="1" applyFill="1" applyBorder="1" applyAlignment="1" applyProtection="1">
      <alignment horizontal="center" vertical="top" wrapText="1"/>
      <protection locked="0"/>
    </xf>
    <xf numFmtId="0" fontId="37" fillId="0" borderId="0" xfId="0" applyFont="1" applyFill="1" applyBorder="1" applyAlignment="1" applyProtection="1">
      <alignment horizontal="center" vertical="top" wrapText="1"/>
      <protection locked="0"/>
    </xf>
    <xf numFmtId="0" fontId="37" fillId="0" borderId="19" xfId="0" applyFont="1" applyFill="1" applyBorder="1" applyAlignment="1" applyProtection="1">
      <alignment horizontal="center" vertical="top" wrapText="1"/>
      <protection locked="0"/>
    </xf>
    <xf numFmtId="0" fontId="37" fillId="24" borderId="23" xfId="0" applyFont="1" applyFill="1" applyBorder="1" applyAlignment="1" applyProtection="1">
      <alignment horizontal="center" vertical="top" wrapText="1"/>
      <protection locked="0"/>
    </xf>
    <xf numFmtId="9" fontId="37" fillId="24" borderId="37" xfId="0" applyNumberFormat="1" applyFont="1" applyFill="1" applyBorder="1" applyAlignment="1" applyProtection="1">
      <alignment horizontal="center" vertical="top" wrapText="1"/>
      <protection locked="0"/>
    </xf>
    <xf numFmtId="0" fontId="0" fillId="0" borderId="27" xfId="0" applyFont="1" applyFill="1" applyBorder="1" applyAlignment="1" applyProtection="1">
      <alignment horizontal="right" vertical="top" wrapText="1"/>
      <protection/>
    </xf>
    <xf numFmtId="0" fontId="0" fillId="0" borderId="26" xfId="0" applyFont="1" applyFill="1" applyBorder="1" applyAlignment="1" applyProtection="1">
      <alignment horizontal="right" vertical="top" wrapText="1"/>
      <protection/>
    </xf>
    <xf numFmtId="0" fontId="37" fillId="24" borderId="27" xfId="0" applyFont="1" applyFill="1" applyBorder="1" applyAlignment="1" applyProtection="1">
      <alignment horizontal="left" vertical="top" wrapText="1"/>
      <protection locked="0"/>
    </xf>
    <xf numFmtId="0" fontId="37" fillId="24" borderId="25" xfId="0" applyFont="1" applyFill="1" applyBorder="1" applyAlignment="1" applyProtection="1">
      <alignment horizontal="left" vertical="top" wrapText="1"/>
      <protection locked="0"/>
    </xf>
    <xf numFmtId="0" fontId="37" fillId="24" borderId="26" xfId="0" applyFont="1" applyFill="1" applyBorder="1" applyAlignment="1" applyProtection="1">
      <alignment horizontal="left" vertical="top" wrapText="1"/>
      <protection locked="0"/>
    </xf>
    <xf numFmtId="9" fontId="37" fillId="24" borderId="37" xfId="0" applyNumberFormat="1" applyFont="1" applyFill="1" applyBorder="1" applyAlignment="1" applyProtection="1">
      <alignment horizontal="center"/>
      <protection locked="0"/>
    </xf>
    <xf numFmtId="1" fontId="37" fillId="0" borderId="25" xfId="0" applyNumberFormat="1" applyFont="1" applyFill="1" applyBorder="1" applyAlignment="1" applyProtection="1">
      <alignment horizontal="center"/>
      <protection/>
    </xf>
    <xf numFmtId="1" fontId="37" fillId="0" borderId="26" xfId="0" applyNumberFormat="1" applyFont="1" applyFill="1" applyBorder="1" applyAlignment="1" applyProtection="1">
      <alignment horizontal="center"/>
      <protection/>
    </xf>
    <xf numFmtId="0" fontId="37" fillId="24" borderId="27" xfId="0" applyFont="1" applyFill="1" applyBorder="1" applyAlignment="1" applyProtection="1">
      <alignment horizontal="left"/>
      <protection locked="0"/>
    </xf>
    <xf numFmtId="0" fontId="37" fillId="24" borderId="25" xfId="0" applyFont="1" applyFill="1" applyBorder="1" applyAlignment="1" applyProtection="1">
      <alignment horizontal="left"/>
      <protection locked="0"/>
    </xf>
    <xf numFmtId="0" fontId="37" fillId="24" borderId="26" xfId="0" applyFont="1" applyFill="1" applyBorder="1" applyAlignment="1" applyProtection="1">
      <alignment horizontal="left"/>
      <protection locked="0"/>
    </xf>
    <xf numFmtId="0" fontId="0" fillId="0" borderId="27" xfId="0" applyFill="1" applyBorder="1" applyAlignment="1" applyProtection="1">
      <alignment horizontal="left"/>
      <protection/>
    </xf>
    <xf numFmtId="0" fontId="0" fillId="0" borderId="25" xfId="0" applyFont="1" applyFill="1" applyBorder="1" applyAlignment="1" applyProtection="1">
      <alignment horizontal="left" vertical="top" wrapText="1"/>
      <protection/>
    </xf>
    <xf numFmtId="3" fontId="37" fillId="0" borderId="27" xfId="42" applyNumberFormat="1" applyFont="1" applyFill="1" applyBorder="1" applyAlignment="1" applyProtection="1">
      <alignment horizontal="center" vertical="top" wrapText="1"/>
      <protection/>
    </xf>
    <xf numFmtId="3" fontId="37" fillId="0" borderId="25" xfId="42" applyNumberFormat="1" applyFont="1" applyFill="1" applyBorder="1" applyAlignment="1" applyProtection="1">
      <alignment horizontal="center" vertical="top" wrapText="1"/>
      <protection/>
    </xf>
    <xf numFmtId="3" fontId="37" fillId="0" borderId="26" xfId="42" applyNumberFormat="1" applyFont="1" applyFill="1" applyBorder="1" applyAlignment="1" applyProtection="1">
      <alignment horizontal="center" vertical="top" wrapText="1"/>
      <protection/>
    </xf>
    <xf numFmtId="3" fontId="37" fillId="0" borderId="40" xfId="42" applyNumberFormat="1" applyFont="1" applyFill="1" applyBorder="1" applyAlignment="1" applyProtection="1">
      <alignment horizontal="center" vertical="top" wrapText="1"/>
      <protection/>
    </xf>
    <xf numFmtId="3" fontId="37" fillId="0" borderId="0" xfId="42" applyNumberFormat="1" applyFont="1" applyFill="1" applyBorder="1" applyAlignment="1" applyProtection="1">
      <alignment horizontal="center" vertical="top" wrapText="1"/>
      <protection/>
    </xf>
    <xf numFmtId="3" fontId="37" fillId="0" borderId="23" xfId="42" applyNumberFormat="1" applyFont="1" applyFill="1" applyBorder="1" applyAlignment="1" applyProtection="1">
      <alignment horizontal="center" vertical="top" wrapText="1"/>
      <protection/>
    </xf>
    <xf numFmtId="0" fontId="0" fillId="0" borderId="25" xfId="0" applyFont="1" applyFill="1" applyBorder="1" applyAlignment="1" applyProtection="1">
      <alignment horizontal="left"/>
      <protection/>
    </xf>
    <xf numFmtId="0" fontId="0" fillId="0" borderId="29" xfId="0" applyFill="1" applyBorder="1" applyAlignment="1" applyProtection="1">
      <alignment horizontal="left"/>
      <protection/>
    </xf>
    <xf numFmtId="0" fontId="37" fillId="24" borderId="45" xfId="0" applyFont="1" applyFill="1" applyBorder="1" applyAlignment="1" applyProtection="1">
      <alignment horizontal="left"/>
      <protection locked="0"/>
    </xf>
    <xf numFmtId="0" fontId="37" fillId="24" borderId="31" xfId="0" applyFont="1" applyFill="1" applyBorder="1" applyAlignment="1" applyProtection="1">
      <alignment horizontal="left"/>
      <protection locked="0"/>
    </xf>
    <xf numFmtId="0" fontId="8" fillId="0" borderId="45" xfId="0" applyFont="1" applyFill="1" applyBorder="1" applyAlignment="1" applyProtection="1">
      <alignment horizontal="left" vertical="top"/>
      <protection/>
    </xf>
    <xf numFmtId="0" fontId="8" fillId="0" borderId="84" xfId="0" applyFont="1" applyFill="1" applyBorder="1" applyAlignment="1" applyProtection="1">
      <alignment horizontal="left" vertical="top"/>
      <protection/>
    </xf>
    <xf numFmtId="0" fontId="0" fillId="0" borderId="27" xfId="0" applyFont="1" applyFill="1" applyBorder="1" applyAlignment="1" applyProtection="1">
      <alignment horizontal="left" vertical="top" wrapText="1"/>
      <protection/>
    </xf>
    <xf numFmtId="0" fontId="0" fillId="0" borderId="45" xfId="0" applyFill="1" applyBorder="1" applyAlignment="1" applyProtection="1">
      <alignment horizontal="left"/>
      <protection/>
    </xf>
    <xf numFmtId="0" fontId="0" fillId="0" borderId="31" xfId="0" applyFill="1" applyBorder="1" applyAlignment="1" applyProtection="1">
      <alignment horizontal="left"/>
      <protection/>
    </xf>
    <xf numFmtId="2" fontId="37" fillId="24" borderId="37" xfId="0" applyNumberFormat="1" applyFont="1" applyFill="1" applyBorder="1" applyAlignment="1" applyProtection="1">
      <alignment horizontal="center" vertical="top" wrapText="1"/>
      <protection locked="0"/>
    </xf>
    <xf numFmtId="2" fontId="37" fillId="24" borderId="0" xfId="0" applyNumberFormat="1" applyFont="1" applyFill="1" applyBorder="1" applyAlignment="1" applyProtection="1">
      <alignment horizontal="center" vertical="top" wrapText="1"/>
      <protection locked="0"/>
    </xf>
    <xf numFmtId="2" fontId="37" fillId="24" borderId="19" xfId="0" applyNumberFormat="1" applyFont="1" applyFill="1" applyBorder="1" applyAlignment="1" applyProtection="1">
      <alignment horizontal="center" vertical="top" wrapText="1"/>
      <protection locked="0"/>
    </xf>
    <xf numFmtId="166" fontId="37" fillId="0" borderId="37" xfId="0" applyNumberFormat="1" applyFont="1" applyFill="1" applyBorder="1" applyAlignment="1" applyProtection="1">
      <alignment horizontal="center" vertical="top" wrapText="1"/>
      <protection/>
    </xf>
    <xf numFmtId="166" fontId="37" fillId="0" borderId="0" xfId="0" applyNumberFormat="1" applyFont="1" applyFill="1" applyBorder="1" applyAlignment="1" applyProtection="1">
      <alignment horizontal="center" vertical="top" wrapText="1"/>
      <protection/>
    </xf>
    <xf numFmtId="166" fontId="37" fillId="0" borderId="19" xfId="0" applyNumberFormat="1" applyFont="1" applyFill="1" applyBorder="1" applyAlignment="1" applyProtection="1">
      <alignment horizontal="center" vertical="top" wrapText="1"/>
      <protection/>
    </xf>
    <xf numFmtId="2" fontId="0" fillId="24" borderId="0" xfId="0" applyNumberFormat="1" applyFill="1" applyBorder="1" applyAlignment="1" applyProtection="1">
      <alignment horizontal="center"/>
      <protection locked="0"/>
    </xf>
    <xf numFmtId="2" fontId="0" fillId="24" borderId="19" xfId="0" applyNumberFormat="1" applyFill="1" applyBorder="1" applyAlignment="1" applyProtection="1">
      <alignment horizontal="center"/>
      <protection locked="0"/>
    </xf>
    <xf numFmtId="0" fontId="0" fillId="0" borderId="47" xfId="0" applyFill="1" applyBorder="1" applyAlignment="1" applyProtection="1">
      <alignment horizontal="left"/>
      <protection/>
    </xf>
    <xf numFmtId="0" fontId="37" fillId="0" borderId="45" xfId="0" applyFont="1" applyFill="1" applyBorder="1" applyAlignment="1" applyProtection="1">
      <alignment horizontal="center" vertical="top" wrapText="1"/>
      <protection/>
    </xf>
    <xf numFmtId="0" fontId="37" fillId="0" borderId="31" xfId="0" applyFont="1" applyFill="1" applyBorder="1" applyAlignment="1" applyProtection="1">
      <alignment horizontal="center" vertical="top" wrapText="1"/>
      <protection/>
    </xf>
    <xf numFmtId="0" fontId="37" fillId="0" borderId="29" xfId="0" applyFont="1" applyFill="1" applyBorder="1" applyAlignment="1" applyProtection="1">
      <alignment horizontal="center" vertical="top" wrapText="1"/>
      <protection/>
    </xf>
    <xf numFmtId="0" fontId="37" fillId="0" borderId="30" xfId="0" applyFont="1" applyFill="1" applyBorder="1" applyAlignment="1" applyProtection="1">
      <alignment horizontal="center" vertical="top" wrapText="1"/>
      <protection/>
    </xf>
    <xf numFmtId="0" fontId="8" fillId="0" borderId="4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8" fillId="0" borderId="19" xfId="0" applyFont="1" applyFill="1" applyBorder="1" applyAlignment="1" applyProtection="1">
      <alignment horizontal="left"/>
      <protection/>
    </xf>
    <xf numFmtId="0" fontId="0" fillId="21" borderId="42" xfId="0" applyFont="1" applyFill="1" applyBorder="1" applyAlignment="1" applyProtection="1">
      <alignment horizontal="center" vertical="center" wrapText="1"/>
      <protection/>
    </xf>
    <xf numFmtId="0" fontId="25" fillId="6" borderId="47" xfId="0" applyFont="1" applyFill="1" applyBorder="1" applyAlignment="1" applyProtection="1">
      <alignment horizontal="left" wrapText="1"/>
      <protection locked="0"/>
    </xf>
    <xf numFmtId="0" fontId="25" fillId="6" borderId="45" xfId="0" applyFont="1" applyFill="1" applyBorder="1" applyAlignment="1" applyProtection="1">
      <alignment horizontal="left" wrapText="1"/>
      <protection locked="0"/>
    </xf>
    <xf numFmtId="0" fontId="25" fillId="6" borderId="31" xfId="0" applyFont="1" applyFill="1" applyBorder="1" applyAlignment="1" applyProtection="1">
      <alignment horizontal="left" wrapText="1"/>
      <protection locked="0"/>
    </xf>
    <xf numFmtId="0" fontId="25" fillId="6" borderId="40" xfId="0" applyFont="1" applyFill="1" applyBorder="1" applyAlignment="1" applyProtection="1">
      <alignment horizontal="left" wrapText="1"/>
      <protection locked="0"/>
    </xf>
    <xf numFmtId="0" fontId="25" fillId="6" borderId="0" xfId="0" applyFont="1" applyFill="1" applyBorder="1" applyAlignment="1" applyProtection="1">
      <alignment horizontal="left" wrapText="1"/>
      <protection locked="0"/>
    </xf>
    <xf numFmtId="0" fontId="25" fillId="6" borderId="23" xfId="0" applyFont="1" applyFill="1" applyBorder="1" applyAlignment="1" applyProtection="1">
      <alignment horizontal="left" wrapText="1"/>
      <protection locked="0"/>
    </xf>
    <xf numFmtId="0" fontId="25" fillId="6" borderId="28" xfId="0" applyFont="1" applyFill="1" applyBorder="1" applyAlignment="1" applyProtection="1">
      <alignment horizontal="left" wrapText="1"/>
      <protection locked="0"/>
    </xf>
    <xf numFmtId="0" fontId="25" fillId="6" borderId="29" xfId="0" applyFont="1" applyFill="1" applyBorder="1" applyAlignment="1" applyProtection="1">
      <alignment horizontal="left" wrapText="1"/>
      <protection locked="0"/>
    </xf>
    <xf numFmtId="0" fontId="25" fillId="6" borderId="30" xfId="0" applyFont="1" applyFill="1" applyBorder="1" applyAlignment="1" applyProtection="1">
      <alignment horizontal="left" wrapText="1"/>
      <protection locked="0"/>
    </xf>
    <xf numFmtId="0" fontId="0" fillId="20" borderId="92" xfId="0" applyFont="1" applyFill="1" applyBorder="1" applyAlignment="1" applyProtection="1">
      <alignment horizontal="left" vertical="top" wrapText="1"/>
      <protection/>
    </xf>
    <xf numFmtId="0" fontId="0" fillId="20" borderId="47" xfId="0" applyFont="1" applyFill="1" applyBorder="1" applyAlignment="1" applyProtection="1">
      <alignment horizontal="left" vertical="top" wrapText="1"/>
      <protection/>
    </xf>
    <xf numFmtId="0" fontId="0" fillId="20" borderId="31" xfId="0" applyFont="1" applyFill="1" applyBorder="1" applyAlignment="1" applyProtection="1">
      <alignment horizontal="left" vertical="top" wrapText="1"/>
      <protection/>
    </xf>
    <xf numFmtId="0" fontId="0" fillId="0" borderId="45" xfId="0" applyFont="1" applyFill="1" applyBorder="1" applyAlignment="1" applyProtection="1">
      <alignment horizontal="left"/>
      <protection/>
    </xf>
    <xf numFmtId="0" fontId="0" fillId="0" borderId="25" xfId="0" applyFont="1" applyFill="1" applyBorder="1" applyAlignment="1" applyProtection="1">
      <alignment horizontal="left"/>
      <protection/>
    </xf>
    <xf numFmtId="0" fontId="0" fillId="0" borderId="27" xfId="0" applyFont="1" applyFill="1" applyBorder="1" applyAlignment="1" applyProtection="1">
      <alignment horizontal="right" vertical="top" wrapText="1"/>
      <protection/>
    </xf>
    <xf numFmtId="0" fontId="37" fillId="24" borderId="25" xfId="0" applyFont="1" applyFill="1" applyBorder="1" applyAlignment="1" applyProtection="1" quotePrefix="1">
      <alignment horizontal="left"/>
      <protection locked="0"/>
    </xf>
    <xf numFmtId="3" fontId="37" fillId="0" borderId="0" xfId="0" applyNumberFormat="1" applyFont="1" applyFill="1" applyBorder="1" applyAlignment="1" applyProtection="1">
      <alignment horizontal="center" vertical="top" wrapText="1"/>
      <protection/>
    </xf>
    <xf numFmtId="9" fontId="37" fillId="0" borderId="55" xfId="73" applyFont="1" applyFill="1" applyBorder="1" applyAlignment="1" applyProtection="1">
      <alignment horizontal="center"/>
      <protection/>
    </xf>
    <xf numFmtId="9" fontId="37" fillId="0" borderId="44" xfId="73" applyFont="1" applyFill="1" applyBorder="1" applyAlignment="1" applyProtection="1">
      <alignment horizontal="center"/>
      <protection/>
    </xf>
    <xf numFmtId="3" fontId="37" fillId="0" borderId="55" xfId="0" applyNumberFormat="1" applyFont="1" applyFill="1" applyBorder="1" applyAlignment="1" applyProtection="1">
      <alignment horizontal="center" vertical="top" wrapText="1"/>
      <protection/>
    </xf>
    <xf numFmtId="3" fontId="37" fillId="0" borderId="44" xfId="0" applyNumberFormat="1" applyFont="1" applyFill="1" applyBorder="1" applyAlignment="1" applyProtection="1">
      <alignment horizontal="center" vertical="top" wrapText="1"/>
      <protection/>
    </xf>
    <xf numFmtId="0" fontId="37" fillId="0" borderId="25" xfId="0" applyFont="1" applyBorder="1" applyAlignment="1" applyProtection="1">
      <alignment horizontal="center"/>
      <protection/>
    </xf>
    <xf numFmtId="0" fontId="37" fillId="0" borderId="26" xfId="0" applyFont="1" applyBorder="1" applyAlignment="1" applyProtection="1">
      <alignment horizontal="center"/>
      <protection/>
    </xf>
    <xf numFmtId="0" fontId="18" fillId="24" borderId="29" xfId="59" applyFill="1" applyBorder="1" applyAlignment="1" applyProtection="1">
      <alignment horizontal="left"/>
      <protection locked="0"/>
    </xf>
    <xf numFmtId="0" fontId="37" fillId="24" borderId="29" xfId="0" applyFont="1" applyFill="1" applyBorder="1" applyAlignment="1" applyProtection="1">
      <alignment horizontal="left"/>
      <protection locked="0"/>
    </xf>
    <xf numFmtId="0" fontId="37" fillId="24" borderId="30" xfId="0" applyFont="1" applyFill="1" applyBorder="1" applyAlignment="1" applyProtection="1">
      <alignment horizontal="left"/>
      <protection locked="0"/>
    </xf>
    <xf numFmtId="189" fontId="37" fillId="24" borderId="25" xfId="0" applyNumberFormat="1" applyFont="1" applyFill="1" applyBorder="1" applyAlignment="1" applyProtection="1">
      <alignment horizontal="left"/>
      <protection locked="0"/>
    </xf>
    <xf numFmtId="189" fontId="37" fillId="24" borderId="26" xfId="0" applyNumberFormat="1" applyFont="1" applyFill="1" applyBorder="1" applyAlignment="1" applyProtection="1">
      <alignment horizontal="left"/>
      <protection locked="0"/>
    </xf>
    <xf numFmtId="0" fontId="0" fillId="0" borderId="40" xfId="0" applyFill="1" applyBorder="1" applyAlignment="1" applyProtection="1">
      <alignment horizontal="left"/>
      <protection/>
    </xf>
    <xf numFmtId="0" fontId="0" fillId="0" borderId="23" xfId="0" applyFill="1" applyBorder="1" applyAlignment="1" applyProtection="1">
      <alignment horizontal="left"/>
      <protection/>
    </xf>
    <xf numFmtId="0" fontId="0" fillId="20" borderId="40" xfId="0" applyFont="1" applyFill="1" applyBorder="1" applyAlignment="1" applyProtection="1">
      <alignment horizontal="left" wrapText="1"/>
      <protection/>
    </xf>
    <xf numFmtId="0" fontId="0" fillId="20" borderId="0" xfId="0" applyFont="1" applyFill="1" applyBorder="1" applyAlignment="1" applyProtection="1">
      <alignment horizontal="left" wrapText="1"/>
      <protection/>
    </xf>
    <xf numFmtId="0" fontId="0" fillId="20" borderId="23" xfId="0" applyFont="1" applyFill="1" applyBorder="1" applyAlignment="1" applyProtection="1">
      <alignment horizontal="left" wrapText="1"/>
      <protection/>
    </xf>
    <xf numFmtId="0" fontId="54" fillId="34" borderId="117" xfId="0" applyFont="1" applyFill="1" applyBorder="1" applyAlignment="1" applyProtection="1">
      <alignment horizontal="center" wrapText="1"/>
      <protection/>
    </xf>
    <xf numFmtId="0" fontId="54" fillId="34" borderId="118" xfId="0" applyFont="1" applyFill="1" applyBorder="1" applyAlignment="1" applyProtection="1">
      <alignment horizontal="center"/>
      <protection/>
    </xf>
    <xf numFmtId="0" fontId="0" fillId="34" borderId="119" xfId="0" applyFill="1" applyBorder="1" applyAlignment="1" applyProtection="1">
      <alignment/>
      <protection/>
    </xf>
    <xf numFmtId="0" fontId="54" fillId="34" borderId="120" xfId="0" applyFont="1" applyFill="1" applyBorder="1" applyAlignment="1" applyProtection="1">
      <alignment horizontal="center"/>
      <protection/>
    </xf>
    <xf numFmtId="0" fontId="54" fillId="34" borderId="91" xfId="0" applyFont="1" applyFill="1" applyBorder="1" applyAlignment="1" applyProtection="1">
      <alignment horizontal="center"/>
      <protection/>
    </xf>
    <xf numFmtId="0" fontId="0" fillId="34" borderId="108" xfId="0" applyFill="1" applyBorder="1" applyAlignment="1" applyProtection="1">
      <alignment/>
      <protection/>
    </xf>
    <xf numFmtId="0" fontId="37" fillId="24" borderId="47" xfId="0" applyFont="1" applyFill="1" applyBorder="1" applyAlignment="1" applyProtection="1">
      <alignment/>
      <protection locked="0"/>
    </xf>
    <xf numFmtId="0" fontId="37" fillId="24" borderId="45" xfId="0" applyFont="1" applyFill="1" applyBorder="1" applyAlignment="1" applyProtection="1">
      <alignment/>
      <protection locked="0"/>
    </xf>
    <xf numFmtId="0" fontId="37" fillId="24" borderId="31" xfId="0" applyFont="1" applyFill="1" applyBorder="1" applyAlignment="1" applyProtection="1">
      <alignment/>
      <protection locked="0"/>
    </xf>
    <xf numFmtId="0" fontId="0" fillId="20" borderId="45" xfId="0" applyFont="1" applyFill="1" applyBorder="1" applyAlignment="1" applyProtection="1">
      <alignment horizontal="center" vertical="top" wrapText="1"/>
      <protection/>
    </xf>
    <xf numFmtId="0" fontId="0" fillId="20" borderId="31" xfId="0" applyFont="1" applyFill="1" applyBorder="1" applyAlignment="1" applyProtection="1">
      <alignment horizontal="center" vertical="top" wrapText="1"/>
      <protection/>
    </xf>
    <xf numFmtId="0" fontId="37" fillId="24" borderId="27" xfId="0" applyFont="1" applyFill="1" applyBorder="1" applyAlignment="1" applyProtection="1">
      <alignment/>
      <protection locked="0"/>
    </xf>
    <xf numFmtId="0" fontId="37" fillId="24" borderId="25" xfId="0" applyFont="1" applyFill="1" applyBorder="1" applyAlignment="1" applyProtection="1">
      <alignment/>
      <protection locked="0"/>
    </xf>
    <xf numFmtId="0" fontId="37" fillId="24" borderId="26" xfId="0" applyFont="1" applyFill="1" applyBorder="1" applyAlignment="1" applyProtection="1">
      <alignment/>
      <protection locked="0"/>
    </xf>
    <xf numFmtId="0" fontId="18" fillId="24" borderId="27" xfId="59" applyFill="1" applyBorder="1" applyAlignment="1" applyProtection="1">
      <alignment/>
      <protection locked="0"/>
    </xf>
    <xf numFmtId="0" fontId="18" fillId="24" borderId="25" xfId="59" applyFill="1" applyBorder="1" applyAlignment="1" applyProtection="1">
      <alignment/>
      <protection locked="0"/>
    </xf>
    <xf numFmtId="0" fontId="18" fillId="24" borderId="26" xfId="59" applyFill="1" applyBorder="1" applyAlignment="1" applyProtection="1">
      <alignment/>
      <protection locked="0"/>
    </xf>
    <xf numFmtId="3" fontId="37" fillId="0" borderId="87" xfId="0" applyNumberFormat="1" applyFont="1" applyFill="1" applyBorder="1" applyAlignment="1" applyProtection="1">
      <alignment horizontal="center" vertical="top" wrapText="1"/>
      <protection/>
    </xf>
    <xf numFmtId="3" fontId="37" fillId="0" borderId="100" xfId="0" applyNumberFormat="1" applyFont="1" applyFill="1" applyBorder="1" applyAlignment="1" applyProtection="1">
      <alignment horizontal="center" vertical="top" wrapText="1"/>
      <protection/>
    </xf>
    <xf numFmtId="9" fontId="37" fillId="0" borderId="87" xfId="73" applyFont="1" applyFill="1" applyBorder="1" applyAlignment="1" applyProtection="1">
      <alignment horizontal="center"/>
      <protection/>
    </xf>
    <xf numFmtId="9" fontId="37" fillId="0" borderId="100" xfId="73" applyFont="1" applyFill="1" applyBorder="1" applyAlignment="1" applyProtection="1">
      <alignment horizontal="center"/>
      <protection/>
    </xf>
    <xf numFmtId="0" fontId="0" fillId="20" borderId="106" xfId="0" applyFont="1" applyFill="1" applyBorder="1" applyAlignment="1" applyProtection="1">
      <alignment horizontal="left" vertical="center" wrapText="1"/>
      <protection/>
    </xf>
    <xf numFmtId="0" fontId="0" fillId="20" borderId="91" xfId="0" applyFont="1" applyFill="1" applyBorder="1" applyAlignment="1" applyProtection="1">
      <alignment horizontal="left" vertical="center" wrapText="1"/>
      <protection/>
    </xf>
    <xf numFmtId="0" fontId="0" fillId="20" borderId="108"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top"/>
      <protection/>
    </xf>
    <xf numFmtId="0" fontId="0" fillId="0" borderId="19" xfId="0" applyFont="1" applyFill="1" applyBorder="1" applyAlignment="1" applyProtection="1">
      <alignment horizontal="left" vertical="top"/>
      <protection/>
    </xf>
    <xf numFmtId="0" fontId="12" fillId="21" borderId="32" xfId="0" applyFont="1" applyFill="1" applyBorder="1" applyAlignment="1" applyProtection="1">
      <alignment horizontal="center" wrapText="1"/>
      <protection/>
    </xf>
    <xf numFmtId="0" fontId="12" fillId="21" borderId="112" xfId="0" applyFont="1" applyFill="1" applyBorder="1" applyAlignment="1" applyProtection="1">
      <alignment horizontal="center" wrapText="1"/>
      <protection/>
    </xf>
    <xf numFmtId="0" fontId="0" fillId="0" borderId="106" xfId="0" applyFont="1" applyFill="1" applyBorder="1" applyAlignment="1" applyProtection="1">
      <alignment horizontal="left" vertical="top" wrapText="1"/>
      <protection/>
    </xf>
    <xf numFmtId="0" fontId="0" fillId="0" borderId="91" xfId="0" applyFont="1" applyFill="1" applyBorder="1" applyAlignment="1" applyProtection="1">
      <alignment horizontal="left" vertical="top" wrapText="1"/>
      <protection/>
    </xf>
    <xf numFmtId="0" fontId="0" fillId="0" borderId="91" xfId="0" applyFont="1" applyFill="1" applyBorder="1" applyAlignment="1" applyProtection="1">
      <alignment horizontal="left" vertical="top" wrapText="1"/>
      <protection/>
    </xf>
    <xf numFmtId="3" fontId="37" fillId="24" borderId="37" xfId="0" applyNumberFormat="1" applyFont="1" applyFill="1" applyBorder="1" applyAlignment="1" applyProtection="1">
      <alignment horizontal="center" vertical="top" wrapText="1"/>
      <protection locked="0"/>
    </xf>
    <xf numFmtId="3" fontId="37" fillId="24" borderId="19" xfId="0" applyNumberFormat="1" applyFont="1" applyFill="1" applyBorder="1" applyAlignment="1" applyProtection="1">
      <alignment horizontal="center" vertical="top" wrapText="1"/>
      <protection locked="0"/>
    </xf>
    <xf numFmtId="0" fontId="31" fillId="0" borderId="28" xfId="0" applyFont="1" applyBorder="1" applyAlignment="1" applyProtection="1">
      <alignment horizontal="center" vertical="top"/>
      <protection/>
    </xf>
    <xf numFmtId="0" fontId="31" fillId="0" borderId="29" xfId="0" applyFont="1" applyBorder="1" applyAlignment="1" applyProtection="1">
      <alignment horizontal="center" vertical="top"/>
      <protection/>
    </xf>
    <xf numFmtId="0" fontId="31" fillId="0" borderId="30" xfId="0" applyFont="1" applyBorder="1" applyAlignment="1" applyProtection="1">
      <alignment horizontal="center" vertical="top"/>
      <protection/>
    </xf>
    <xf numFmtId="165" fontId="37" fillId="0" borderId="0" xfId="73" applyNumberFormat="1" applyFont="1" applyFill="1" applyBorder="1" applyAlignment="1" applyProtection="1">
      <alignment horizontal="center"/>
      <protection/>
    </xf>
    <xf numFmtId="3" fontId="37" fillId="24" borderId="55" xfId="0" applyNumberFormat="1" applyFont="1" applyFill="1" applyBorder="1" applyAlignment="1" applyProtection="1">
      <alignment horizontal="center" vertical="top" wrapText="1"/>
      <protection locked="0"/>
    </xf>
    <xf numFmtId="3" fontId="37" fillId="24" borderId="44" xfId="0" applyNumberFormat="1" applyFont="1" applyFill="1" applyBorder="1" applyAlignment="1" applyProtection="1">
      <alignment horizontal="center" vertical="top" wrapText="1"/>
      <protection locked="0"/>
    </xf>
    <xf numFmtId="0" fontId="48" fillId="27" borderId="33" xfId="0" applyFont="1" applyFill="1" applyBorder="1" applyAlignment="1" applyProtection="1">
      <alignment horizontal="center" vertical="top" wrapText="1"/>
      <protection/>
    </xf>
    <xf numFmtId="0" fontId="48" fillId="27" borderId="34" xfId="0" applyFont="1" applyFill="1" applyBorder="1" applyAlignment="1" applyProtection="1">
      <alignment horizontal="center" vertical="top" wrapText="1"/>
      <protection/>
    </xf>
    <xf numFmtId="0" fontId="48" fillId="27" borderId="103" xfId="0" applyFont="1" applyFill="1" applyBorder="1" applyAlignment="1" applyProtection="1">
      <alignment horizontal="center" vertical="top" wrapText="1"/>
      <protection/>
    </xf>
    <xf numFmtId="0" fontId="48" fillId="0" borderId="93" xfId="0" applyFont="1" applyFill="1" applyBorder="1" applyAlignment="1" applyProtection="1">
      <alignment horizontal="center" vertical="top" wrapText="1"/>
      <protection/>
    </xf>
    <xf numFmtId="0" fontId="48" fillId="0" borderId="121" xfId="0" applyFont="1" applyFill="1" applyBorder="1" applyAlignment="1" applyProtection="1">
      <alignment horizontal="center" vertical="top" wrapText="1"/>
      <protection/>
    </xf>
    <xf numFmtId="0" fontId="48" fillId="27" borderId="122" xfId="0" applyFont="1" applyFill="1" applyBorder="1" applyAlignment="1" applyProtection="1">
      <alignment horizontal="center" vertical="top" wrapText="1"/>
      <protection/>
    </xf>
    <xf numFmtId="0" fontId="48" fillId="27" borderId="36" xfId="0" applyFont="1" applyFill="1" applyBorder="1" applyAlignment="1" applyProtection="1">
      <alignment horizontal="center" vertical="top" wrapText="1"/>
      <protection/>
    </xf>
    <xf numFmtId="0" fontId="48" fillId="27" borderId="102" xfId="0" applyFont="1" applyFill="1" applyBorder="1" applyAlignment="1" applyProtection="1">
      <alignment horizontal="center" vertical="top" wrapText="1"/>
      <protection/>
    </xf>
    <xf numFmtId="0" fontId="37" fillId="6" borderId="37" xfId="65" applyFont="1" applyFill="1" applyBorder="1" applyAlignment="1" applyProtection="1">
      <alignment horizontal="center"/>
      <protection locked="0"/>
    </xf>
    <xf numFmtId="0" fontId="37" fillId="6" borderId="0" xfId="65" applyFont="1" applyFill="1" applyBorder="1" applyAlignment="1" applyProtection="1">
      <alignment horizontal="center"/>
      <protection locked="0"/>
    </xf>
    <xf numFmtId="0" fontId="37" fillId="6" borderId="23" xfId="65" applyFont="1" applyFill="1" applyBorder="1" applyAlignment="1" applyProtection="1">
      <alignment horizontal="center"/>
      <protection locked="0"/>
    </xf>
    <xf numFmtId="0" fontId="37" fillId="6" borderId="37" xfId="65" applyFont="1" applyFill="1" applyBorder="1" applyAlignment="1" applyProtection="1">
      <alignment horizontal="center" vertical="top" wrapText="1"/>
      <protection locked="0"/>
    </xf>
    <xf numFmtId="0" fontId="37" fillId="6" borderId="0" xfId="65" applyFont="1" applyFill="1" applyBorder="1" applyAlignment="1" applyProtection="1">
      <alignment horizontal="center" vertical="top" wrapText="1"/>
      <protection locked="0"/>
    </xf>
    <xf numFmtId="0" fontId="37" fillId="6" borderId="19" xfId="65" applyFont="1" applyFill="1" applyBorder="1" applyAlignment="1" applyProtection="1">
      <alignment horizontal="center" vertical="top" wrapText="1"/>
      <protection locked="0"/>
    </xf>
    <xf numFmtId="0" fontId="37" fillId="0" borderId="37" xfId="65" applyFont="1" applyBorder="1" applyAlignment="1" applyProtection="1">
      <alignment horizontal="center"/>
      <protection/>
    </xf>
    <xf numFmtId="0" fontId="37" fillId="0" borderId="0" xfId="65" applyFont="1" applyBorder="1" applyAlignment="1" applyProtection="1">
      <alignment horizontal="center"/>
      <protection/>
    </xf>
    <xf numFmtId="0" fontId="37" fillId="0" borderId="23" xfId="65" applyFont="1" applyBorder="1" applyAlignment="1" applyProtection="1">
      <alignment horizontal="center"/>
      <protection/>
    </xf>
    <xf numFmtId="0" fontId="0" fillId="20" borderId="37" xfId="65" applyFont="1" applyFill="1" applyBorder="1" applyAlignment="1" applyProtection="1">
      <alignment horizontal="left"/>
      <protection/>
    </xf>
    <xf numFmtId="0" fontId="0" fillId="20" borderId="19" xfId="65" applyFill="1" applyBorder="1" applyAlignment="1" applyProtection="1">
      <alignment horizontal="left"/>
      <protection/>
    </xf>
    <xf numFmtId="0" fontId="37" fillId="0" borderId="37" xfId="65" applyFont="1" applyBorder="1" applyAlignment="1" applyProtection="1">
      <alignment horizontal="left"/>
      <protection/>
    </xf>
    <xf numFmtId="0" fontId="37" fillId="0" borderId="0" xfId="65" applyFont="1" applyBorder="1" applyAlignment="1" applyProtection="1">
      <alignment horizontal="left"/>
      <protection/>
    </xf>
    <xf numFmtId="0" fontId="37" fillId="0" borderId="23" xfId="65" applyFont="1" applyBorder="1" applyAlignment="1" applyProtection="1">
      <alignment horizontal="left"/>
      <protection/>
    </xf>
    <xf numFmtId="0" fontId="37" fillId="0" borderId="19" xfId="65" applyFont="1" applyBorder="1" applyAlignment="1" applyProtection="1">
      <alignment horizontal="left"/>
      <protection/>
    </xf>
    <xf numFmtId="0" fontId="37" fillId="0" borderId="87" xfId="65" applyFont="1" applyBorder="1" applyAlignment="1" applyProtection="1">
      <alignment horizontal="center"/>
      <protection/>
    </xf>
    <xf numFmtId="0" fontId="37" fillId="0" borderId="29" xfId="65" applyFont="1" applyBorder="1" applyAlignment="1" applyProtection="1">
      <alignment horizontal="center"/>
      <protection/>
    </xf>
    <xf numFmtId="0" fontId="37" fillId="0" borderId="30" xfId="65" applyFont="1" applyBorder="1" applyAlignment="1" applyProtection="1">
      <alignment horizontal="center"/>
      <protection/>
    </xf>
    <xf numFmtId="0" fontId="0" fillId="20" borderId="40" xfId="65" applyFont="1" applyFill="1" applyBorder="1" applyAlignment="1" applyProtection="1">
      <alignment horizontal="left"/>
      <protection/>
    </xf>
    <xf numFmtId="176" fontId="37" fillId="0" borderId="37" xfId="65" applyNumberFormat="1" applyFont="1" applyBorder="1" applyAlignment="1" applyProtection="1">
      <alignment horizontal="left"/>
      <protection/>
    </xf>
    <xf numFmtId="176" fontId="37" fillId="0" borderId="0" xfId="65" applyNumberFormat="1" applyFont="1" applyBorder="1" applyAlignment="1" applyProtection="1">
      <alignment horizontal="left"/>
      <protection/>
    </xf>
    <xf numFmtId="176" fontId="37" fillId="0" borderId="19" xfId="65" applyNumberFormat="1" applyFont="1" applyBorder="1" applyAlignment="1" applyProtection="1">
      <alignment horizontal="left"/>
      <protection/>
    </xf>
    <xf numFmtId="3" fontId="37" fillId="0" borderId="37" xfId="65" applyNumberFormat="1" applyFont="1" applyFill="1" applyBorder="1" applyAlignment="1" applyProtection="1">
      <alignment horizontal="center" vertical="top" wrapText="1"/>
      <protection/>
    </xf>
    <xf numFmtId="3" fontId="37" fillId="0" borderId="0" xfId="65" applyNumberFormat="1" applyFont="1" applyFill="1" applyBorder="1" applyAlignment="1" applyProtection="1">
      <alignment horizontal="center" vertical="top" wrapText="1"/>
      <protection/>
    </xf>
    <xf numFmtId="3" fontId="37" fillId="0" borderId="19" xfId="65" applyNumberFormat="1" applyFont="1" applyFill="1" applyBorder="1" applyAlignment="1" applyProtection="1">
      <alignment horizontal="center" vertical="top" wrapText="1"/>
      <protection/>
    </xf>
    <xf numFmtId="0" fontId="0" fillId="20" borderId="40" xfId="65" applyFill="1" applyBorder="1" applyAlignment="1" applyProtection="1">
      <alignment horizontal="left"/>
      <protection/>
    </xf>
    <xf numFmtId="0" fontId="0" fillId="20" borderId="28" xfId="65" applyFont="1" applyFill="1" applyBorder="1" applyAlignment="1" applyProtection="1">
      <alignment horizontal="left"/>
      <protection/>
    </xf>
    <xf numFmtId="0" fontId="0" fillId="20" borderId="100" xfId="65" applyFill="1" applyBorder="1" applyAlignment="1" applyProtection="1">
      <alignment horizontal="left"/>
      <protection/>
    </xf>
    <xf numFmtId="0" fontId="37" fillId="0" borderId="87" xfId="65" applyFont="1" applyBorder="1" applyAlignment="1" applyProtection="1">
      <alignment horizontal="left"/>
      <protection/>
    </xf>
    <xf numFmtId="0" fontId="37" fillId="0" borderId="29" xfId="65" applyFont="1" applyBorder="1" applyAlignment="1" applyProtection="1">
      <alignment horizontal="left"/>
      <protection/>
    </xf>
    <xf numFmtId="0" fontId="37" fillId="0" borderId="100" xfId="65" applyFont="1" applyBorder="1" applyAlignment="1" applyProtection="1">
      <alignment horizontal="left"/>
      <protection/>
    </xf>
    <xf numFmtId="0" fontId="0" fillId="20" borderId="87" xfId="65" applyFont="1" applyFill="1" applyBorder="1" applyAlignment="1" applyProtection="1">
      <alignment horizontal="left"/>
      <protection/>
    </xf>
    <xf numFmtId="0" fontId="0" fillId="20" borderId="47" xfId="65" applyFont="1" applyFill="1" applyBorder="1" applyAlignment="1" applyProtection="1">
      <alignment horizontal="left"/>
      <protection/>
    </xf>
    <xf numFmtId="0" fontId="0" fillId="20" borderId="84" xfId="65" applyFill="1" applyBorder="1" applyAlignment="1" applyProtection="1">
      <alignment horizontal="left"/>
      <protection/>
    </xf>
    <xf numFmtId="0" fontId="37" fillId="0" borderId="123" xfId="65" applyFont="1" applyBorder="1" applyAlignment="1" applyProtection="1">
      <alignment horizontal="left"/>
      <protection/>
    </xf>
    <xf numFmtId="0" fontId="37" fillId="0" borderId="45" xfId="65" applyFont="1" applyBorder="1" applyAlignment="1" applyProtection="1">
      <alignment horizontal="left"/>
      <protection/>
    </xf>
    <xf numFmtId="0" fontId="37" fillId="0" borderId="84" xfId="65" applyFont="1" applyBorder="1" applyAlignment="1" applyProtection="1">
      <alignment horizontal="left"/>
      <protection/>
    </xf>
    <xf numFmtId="0" fontId="0" fillId="20" borderId="123" xfId="65" applyFont="1" applyFill="1" applyBorder="1" applyAlignment="1" applyProtection="1">
      <alignment horizontal="left"/>
      <protection/>
    </xf>
    <xf numFmtId="0" fontId="37" fillId="0" borderId="31" xfId="65" applyFont="1" applyBorder="1" applyAlignment="1" applyProtection="1">
      <alignment horizontal="left"/>
      <protection/>
    </xf>
    <xf numFmtId="0" fontId="0" fillId="0" borderId="0" xfId="0" applyFont="1" applyAlignment="1" applyProtection="1">
      <alignment horizontal="left" vertical="top" wrapText="1"/>
      <protection/>
    </xf>
    <xf numFmtId="0" fontId="0" fillId="0" borderId="91" xfId="65" applyBorder="1" applyAlignment="1" applyProtection="1">
      <alignment horizontal="left"/>
      <protection/>
    </xf>
    <xf numFmtId="175" fontId="0" fillId="0" borderId="91" xfId="65" applyNumberFormat="1" applyBorder="1" applyAlignment="1" applyProtection="1">
      <alignment horizontal="left"/>
      <protection/>
    </xf>
    <xf numFmtId="0" fontId="55" fillId="0" borderId="0" xfId="0" applyFont="1" applyAlignment="1" applyProtection="1">
      <alignment horizontal="center" vertical="center"/>
      <protection/>
    </xf>
    <xf numFmtId="0" fontId="28" fillId="0" borderId="0" xfId="0" applyFont="1" applyAlignment="1" applyProtection="1">
      <alignment horizontal="left" vertical="top" wrapText="1"/>
      <protection/>
    </xf>
    <xf numFmtId="0" fontId="0" fillId="0" borderId="0" xfId="0" applyFont="1" applyAlignment="1" applyProtection="1">
      <alignment horizontal="left" vertical="top" wrapText="1" indent="1"/>
      <protection/>
    </xf>
    <xf numFmtId="0" fontId="29" fillId="0" borderId="0" xfId="0" applyFont="1" applyAlignment="1" applyProtection="1">
      <alignment horizontal="left" vertical="top" wrapText="1"/>
      <protection/>
    </xf>
    <xf numFmtId="0" fontId="54" fillId="0" borderId="0" xfId="65" applyFont="1" applyAlignment="1" applyProtection="1">
      <alignment horizontal="center" wrapText="1"/>
      <protection/>
    </xf>
    <xf numFmtId="0" fontId="54" fillId="0" borderId="0" xfId="65" applyFont="1" applyAlignment="1" applyProtection="1">
      <alignment horizontal="center"/>
      <protection/>
    </xf>
    <xf numFmtId="0" fontId="0" fillId="0" borderId="0" xfId="65" applyFont="1" applyAlignment="1" applyProtection="1">
      <alignment horizontal="left" vertical="top" wrapText="1"/>
      <protection/>
    </xf>
    <xf numFmtId="175" fontId="0" fillId="0" borderId="82" xfId="65" applyNumberFormat="1" applyBorder="1" applyAlignment="1" applyProtection="1">
      <alignment horizontal="left"/>
      <protection/>
    </xf>
    <xf numFmtId="0" fontId="0" fillId="20" borderId="47" xfId="65" applyFill="1" applyBorder="1" applyAlignment="1" applyProtection="1">
      <alignment horizontal="left"/>
      <protection/>
    </xf>
    <xf numFmtId="0" fontId="0" fillId="20" borderId="123" xfId="65" applyFill="1" applyBorder="1" applyAlignment="1" applyProtection="1">
      <alignment horizontal="left"/>
      <protection/>
    </xf>
    <xf numFmtId="0" fontId="0" fillId="20" borderId="123" xfId="65" applyFont="1" applyFill="1" applyBorder="1" applyAlignment="1" applyProtection="1">
      <alignment horizontal="left" vertical="top" wrapText="1"/>
      <protection/>
    </xf>
    <xf numFmtId="0" fontId="0" fillId="20" borderId="84" xfId="65" applyFont="1" applyFill="1" applyBorder="1" applyAlignment="1" applyProtection="1">
      <alignment horizontal="left" vertical="top" wrapText="1"/>
      <protection/>
    </xf>
    <xf numFmtId="3" fontId="37" fillId="0" borderId="123" xfId="65" applyNumberFormat="1" applyFont="1" applyFill="1" applyBorder="1" applyAlignment="1" applyProtection="1">
      <alignment horizontal="center" vertical="top" wrapText="1"/>
      <protection/>
    </xf>
    <xf numFmtId="0" fontId="37" fillId="0" borderId="31" xfId="65" applyFont="1" applyFill="1" applyBorder="1" applyAlignment="1" applyProtection="1">
      <alignment horizontal="center" vertical="top" wrapText="1"/>
      <protection/>
    </xf>
    <xf numFmtId="0" fontId="0" fillId="20" borderId="28" xfId="65" applyFill="1" applyBorder="1" applyAlignment="1" applyProtection="1">
      <alignment horizontal="left"/>
      <protection/>
    </xf>
    <xf numFmtId="0" fontId="0" fillId="20" borderId="87" xfId="65" applyFill="1" applyBorder="1" applyAlignment="1" applyProtection="1">
      <alignment horizontal="left"/>
      <protection/>
    </xf>
    <xf numFmtId="0" fontId="0" fillId="20" borderId="40" xfId="65" applyFont="1" applyFill="1" applyBorder="1" applyAlignment="1" applyProtection="1">
      <alignment horizontal="left" vertical="top" wrapText="1"/>
      <protection/>
    </xf>
    <xf numFmtId="0" fontId="0" fillId="20" borderId="19" xfId="65" applyFont="1" applyFill="1" applyBorder="1" applyAlignment="1" applyProtection="1">
      <alignment horizontal="left" vertical="top" wrapText="1"/>
      <protection/>
    </xf>
    <xf numFmtId="0" fontId="37" fillId="0" borderId="37" xfId="65" applyFont="1" applyFill="1" applyBorder="1" applyAlignment="1" applyProtection="1">
      <alignment horizontal="left" vertical="top" wrapText="1"/>
      <protection/>
    </xf>
    <xf numFmtId="0" fontId="37" fillId="0" borderId="19" xfId="65" applyFont="1" applyFill="1" applyBorder="1" applyAlignment="1" applyProtection="1">
      <alignment horizontal="left" vertical="top" wrapText="1"/>
      <protection/>
    </xf>
    <xf numFmtId="0" fontId="0" fillId="20" borderId="37" xfId="65" applyFont="1" applyFill="1" applyBorder="1" applyAlignment="1" applyProtection="1">
      <alignment horizontal="left" vertical="top" wrapText="1" indent="2"/>
      <protection/>
    </xf>
    <xf numFmtId="0" fontId="0" fillId="20" borderId="19" xfId="65" applyFont="1" applyFill="1" applyBorder="1" applyAlignment="1" applyProtection="1">
      <alignment horizontal="left" vertical="top" wrapText="1" indent="2"/>
      <protection/>
    </xf>
    <xf numFmtId="0" fontId="37" fillId="0" borderId="23" xfId="65" applyFont="1" applyFill="1" applyBorder="1" applyAlignment="1" applyProtection="1">
      <alignment horizontal="center" vertical="top" wrapText="1"/>
      <protection/>
    </xf>
    <xf numFmtId="0" fontId="0" fillId="20" borderId="37" xfId="65" applyFont="1" applyFill="1" applyBorder="1" applyAlignment="1" applyProtection="1">
      <alignment horizontal="left" vertical="top" wrapText="1"/>
      <protection/>
    </xf>
    <xf numFmtId="0" fontId="0" fillId="20" borderId="40" xfId="65" applyFont="1" applyFill="1" applyBorder="1" applyAlignment="1" applyProtection="1">
      <alignment horizontal="left" vertical="center" wrapText="1"/>
      <protection/>
    </xf>
    <xf numFmtId="0" fontId="0" fillId="20" borderId="19" xfId="65" applyFont="1" applyFill="1" applyBorder="1" applyAlignment="1" applyProtection="1">
      <alignment horizontal="left" vertical="center" wrapText="1"/>
      <protection/>
    </xf>
    <xf numFmtId="0" fontId="0" fillId="0" borderId="40" xfId="65" applyFont="1" applyFill="1" applyBorder="1" applyAlignment="1" applyProtection="1">
      <alignment horizontal="left" vertical="top" wrapText="1"/>
      <protection/>
    </xf>
    <xf numFmtId="0" fontId="0" fillId="0" borderId="0" xfId="65" applyFont="1" applyFill="1" applyBorder="1" applyAlignment="1" applyProtection="1">
      <alignment horizontal="left" vertical="top" wrapText="1"/>
      <protection/>
    </xf>
    <xf numFmtId="0" fontId="37" fillId="0" borderId="37" xfId="65" applyFont="1" applyFill="1" applyBorder="1" applyAlignment="1" applyProtection="1">
      <alignment horizontal="center" vertical="top" wrapText="1"/>
      <protection/>
    </xf>
    <xf numFmtId="0" fontId="37" fillId="0" borderId="19" xfId="65" applyFont="1" applyFill="1" applyBorder="1" applyAlignment="1" applyProtection="1">
      <alignment horizontal="center" vertical="top" wrapText="1"/>
      <protection/>
    </xf>
    <xf numFmtId="0" fontId="0" fillId="20" borderId="28" xfId="65" applyFont="1" applyFill="1" applyBorder="1" applyAlignment="1" applyProtection="1">
      <alignment horizontal="left" vertical="top" wrapText="1"/>
      <protection/>
    </xf>
    <xf numFmtId="0" fontId="0" fillId="20" borderId="100" xfId="65" applyFont="1" applyFill="1" applyBorder="1" applyAlignment="1" applyProtection="1">
      <alignment horizontal="left" vertical="top" wrapText="1"/>
      <protection/>
    </xf>
    <xf numFmtId="0" fontId="37" fillId="0" borderId="87" xfId="65" applyFont="1" applyFill="1" applyBorder="1" applyAlignment="1" applyProtection="1">
      <alignment horizontal="center" vertical="top" wrapText="1"/>
      <protection/>
    </xf>
    <xf numFmtId="0" fontId="37" fillId="0" borderId="100" xfId="65" applyFont="1" applyFill="1" applyBorder="1" applyAlignment="1" applyProtection="1">
      <alignment horizontal="center" vertical="top" wrapText="1"/>
      <protection/>
    </xf>
    <xf numFmtId="0" fontId="0" fillId="20" borderId="87" xfId="65" applyFont="1" applyFill="1" applyBorder="1" applyAlignment="1" applyProtection="1">
      <alignment horizontal="left" vertical="top" wrapText="1" indent="2"/>
      <protection/>
    </xf>
    <xf numFmtId="0" fontId="0" fillId="20" borderId="100" xfId="65" applyFont="1" applyFill="1" applyBorder="1" applyAlignment="1" applyProtection="1">
      <alignment horizontal="left" vertical="top" wrapText="1" indent="2"/>
      <protection/>
    </xf>
    <xf numFmtId="3" fontId="37" fillId="0" borderId="87" xfId="65" applyNumberFormat="1" applyFont="1" applyFill="1" applyBorder="1" applyAlignment="1" applyProtection="1">
      <alignment horizontal="center" vertical="top" wrapText="1"/>
      <protection/>
    </xf>
    <xf numFmtId="0" fontId="37" fillId="0" borderId="30" xfId="65" applyFont="1" applyFill="1" applyBorder="1" applyAlignment="1" applyProtection="1">
      <alignment horizontal="center" vertical="top" wrapText="1"/>
      <protection/>
    </xf>
    <xf numFmtId="0" fontId="0" fillId="20" borderId="42" xfId="65" applyFont="1" applyFill="1" applyBorder="1" applyAlignment="1" applyProtection="1">
      <alignment horizontal="left" vertical="top" wrapText="1"/>
      <protection/>
    </xf>
    <xf numFmtId="0" fontId="0" fillId="20" borderId="43" xfId="65" applyFont="1" applyFill="1" applyBorder="1" applyAlignment="1" applyProtection="1">
      <alignment horizontal="left" vertical="top" wrapText="1"/>
      <protection/>
    </xf>
    <xf numFmtId="0" fontId="37" fillId="0" borderId="37" xfId="65" applyFont="1" applyFill="1" applyBorder="1" applyAlignment="1" applyProtection="1">
      <alignment horizontal="center"/>
      <protection/>
    </xf>
    <xf numFmtId="0" fontId="37" fillId="0" borderId="0" xfId="65" applyFont="1" applyFill="1" applyBorder="1" applyAlignment="1" applyProtection="1">
      <alignment horizontal="center"/>
      <protection/>
    </xf>
    <xf numFmtId="0" fontId="37" fillId="0" borderId="23" xfId="65" applyFont="1" applyFill="1" applyBorder="1" applyAlignment="1" applyProtection="1">
      <alignment horizontal="center"/>
      <protection/>
    </xf>
    <xf numFmtId="0" fontId="0" fillId="20" borderId="28" xfId="65" applyFont="1" applyFill="1" applyBorder="1" applyAlignment="1" applyProtection="1">
      <alignment horizontal="left" vertical="center" wrapText="1"/>
      <protection/>
    </xf>
    <xf numFmtId="0" fontId="0" fillId="20" borderId="100" xfId="65" applyFont="1" applyFill="1" applyBorder="1" applyAlignment="1" applyProtection="1">
      <alignment horizontal="left" vertical="center" wrapText="1"/>
      <protection/>
    </xf>
    <xf numFmtId="0" fontId="0" fillId="21" borderId="42" xfId="65" applyFont="1" applyFill="1" applyBorder="1" applyAlignment="1" applyProtection="1">
      <alignment horizontal="center" vertical="center" wrapText="1"/>
      <protection/>
    </xf>
    <xf numFmtId="0" fontId="0" fillId="21" borderId="50" xfId="65" applyFont="1" applyFill="1" applyBorder="1" applyAlignment="1" applyProtection="1">
      <alignment horizontal="center" vertical="center" wrapText="1"/>
      <protection/>
    </xf>
    <xf numFmtId="0" fontId="0" fillId="21" borderId="85" xfId="65" applyFont="1" applyFill="1" applyBorder="1" applyAlignment="1" applyProtection="1">
      <alignment horizontal="center" vertical="center" wrapText="1"/>
      <protection/>
    </xf>
    <xf numFmtId="0" fontId="0" fillId="21" borderId="43" xfId="65" applyFont="1" applyFill="1" applyBorder="1" applyAlignment="1" applyProtection="1">
      <alignment horizontal="center" vertical="center" wrapText="1"/>
      <protection/>
    </xf>
    <xf numFmtId="0" fontId="0" fillId="0" borderId="50" xfId="65" applyBorder="1" applyProtection="1">
      <alignment/>
      <protection/>
    </xf>
    <xf numFmtId="0" fontId="0" fillId="0" borderId="83" xfId="65" applyBorder="1" applyProtection="1">
      <alignment/>
      <protection/>
    </xf>
    <xf numFmtId="0" fontId="0" fillId="20" borderId="116" xfId="65" applyFont="1" applyFill="1" applyBorder="1" applyAlignment="1" applyProtection="1">
      <alignment horizontal="left" vertical="center" wrapText="1"/>
      <protection/>
    </xf>
    <xf numFmtId="0" fontId="0" fillId="20" borderId="82" xfId="65" applyFont="1" applyFill="1" applyBorder="1" applyAlignment="1" applyProtection="1">
      <alignment horizontal="left" vertical="center" wrapText="1"/>
      <protection/>
    </xf>
    <xf numFmtId="0" fontId="0" fillId="20" borderId="81" xfId="65" applyFont="1" applyFill="1" applyBorder="1" applyAlignment="1" applyProtection="1">
      <alignment horizontal="left" vertical="center" wrapText="1"/>
      <protection/>
    </xf>
    <xf numFmtId="0" fontId="37" fillId="0" borderId="0" xfId="65" applyFont="1" applyFill="1" applyBorder="1" applyAlignment="1" applyProtection="1">
      <alignment horizontal="center" vertical="top" wrapText="1"/>
      <protection/>
    </xf>
    <xf numFmtId="0" fontId="37" fillId="0" borderId="86" xfId="65" applyFont="1" applyFill="1" applyBorder="1" applyAlignment="1" applyProtection="1">
      <alignment horizontal="center"/>
      <protection/>
    </xf>
    <xf numFmtId="0" fontId="37" fillId="0" borderId="93" xfId="65" applyFont="1" applyFill="1" applyBorder="1" applyAlignment="1" applyProtection="1">
      <alignment horizontal="center"/>
      <protection/>
    </xf>
    <xf numFmtId="0" fontId="37" fillId="0" borderId="96" xfId="65" applyFont="1" applyFill="1" applyBorder="1" applyAlignment="1" applyProtection="1">
      <alignment horizontal="center"/>
      <protection/>
    </xf>
    <xf numFmtId="2" fontId="37" fillId="0" borderId="37" xfId="65" applyNumberFormat="1" applyFont="1" applyFill="1" applyBorder="1" applyAlignment="1" applyProtection="1">
      <alignment horizontal="center" vertical="top" wrapText="1"/>
      <protection/>
    </xf>
    <xf numFmtId="2" fontId="37" fillId="0" borderId="0" xfId="65" applyNumberFormat="1" applyFont="1" applyFill="1" applyBorder="1" applyAlignment="1" applyProtection="1">
      <alignment horizontal="center" vertical="top" wrapText="1"/>
      <protection/>
    </xf>
    <xf numFmtId="2" fontId="37" fillId="0" borderId="19" xfId="65" applyNumberFormat="1" applyFont="1" applyFill="1" applyBorder="1" applyAlignment="1" applyProtection="1">
      <alignment horizontal="center" vertical="top" wrapText="1"/>
      <protection/>
    </xf>
    <xf numFmtId="2" fontId="37" fillId="0" borderId="37" xfId="65" applyNumberFormat="1" applyFont="1" applyFill="1" applyBorder="1" applyAlignment="1" applyProtection="1">
      <alignment horizontal="center"/>
      <protection/>
    </xf>
    <xf numFmtId="2" fontId="37" fillId="0" borderId="0" xfId="65" applyNumberFormat="1" applyFont="1" applyFill="1" applyBorder="1" applyAlignment="1" applyProtection="1">
      <alignment horizontal="center"/>
      <protection/>
    </xf>
    <xf numFmtId="2" fontId="37" fillId="0" borderId="23" xfId="65" applyNumberFormat="1" applyFont="1" applyFill="1" applyBorder="1" applyAlignment="1" applyProtection="1">
      <alignment horizontal="center"/>
      <protection/>
    </xf>
    <xf numFmtId="0" fontId="37" fillId="0" borderId="86" xfId="65" applyFont="1" applyFill="1" applyBorder="1" applyAlignment="1" applyProtection="1">
      <alignment horizontal="center" vertical="top" wrapText="1"/>
      <protection/>
    </xf>
    <xf numFmtId="0" fontId="37" fillId="0" borderId="93" xfId="65" applyFont="1" applyFill="1" applyBorder="1" applyAlignment="1" applyProtection="1">
      <alignment horizontal="center" vertical="top" wrapText="1"/>
      <protection/>
    </xf>
    <xf numFmtId="0" fontId="37" fillId="0" borderId="54" xfId="65" applyFont="1" applyFill="1" applyBorder="1" applyAlignment="1" applyProtection="1">
      <alignment horizontal="center" vertical="top" wrapText="1"/>
      <protection/>
    </xf>
    <xf numFmtId="0" fontId="37" fillId="0" borderId="86" xfId="65" applyFont="1" applyFill="1" applyBorder="1" applyAlignment="1" applyProtection="1">
      <alignment horizontal="left" vertical="top" wrapText="1"/>
      <protection/>
    </xf>
    <xf numFmtId="0" fontId="37" fillId="0" borderId="93" xfId="65" applyFont="1" applyFill="1" applyBorder="1" applyAlignment="1" applyProtection="1">
      <alignment horizontal="left" vertical="top" wrapText="1"/>
      <protection/>
    </xf>
    <xf numFmtId="0" fontId="37" fillId="0" borderId="54" xfId="65" applyFont="1" applyFill="1" applyBorder="1" applyAlignment="1" applyProtection="1">
      <alignment horizontal="left" vertical="top" wrapText="1"/>
      <protection/>
    </xf>
    <xf numFmtId="0" fontId="37" fillId="0" borderId="86" xfId="65" applyFont="1" applyBorder="1" applyAlignment="1" applyProtection="1">
      <alignment horizontal="center"/>
      <protection/>
    </xf>
    <xf numFmtId="0" fontId="37" fillId="0" borderId="93" xfId="65" applyFont="1" applyBorder="1" applyAlignment="1" applyProtection="1">
      <alignment horizontal="center"/>
      <protection/>
    </xf>
    <xf numFmtId="0" fontId="37" fillId="0" borderId="96" xfId="65" applyFont="1" applyBorder="1" applyAlignment="1" applyProtection="1">
      <alignment horizontal="center"/>
      <protection/>
    </xf>
    <xf numFmtId="0" fontId="0" fillId="0" borderId="40" xfId="65" applyFont="1" applyFill="1" applyBorder="1" applyAlignment="1" applyProtection="1">
      <alignment horizontal="left" vertical="top" wrapText="1" indent="1"/>
      <protection/>
    </xf>
    <xf numFmtId="0" fontId="0" fillId="0" borderId="19" xfId="65" applyFont="1" applyFill="1" applyBorder="1" applyAlignment="1" applyProtection="1">
      <alignment horizontal="left" vertical="top" wrapText="1" indent="1"/>
      <protection/>
    </xf>
    <xf numFmtId="0" fontId="0" fillId="20" borderId="116" xfId="65" applyFont="1" applyFill="1" applyBorder="1" applyAlignment="1" applyProtection="1">
      <alignment horizontal="left" vertical="top" wrapText="1"/>
      <protection/>
    </xf>
    <xf numFmtId="0" fontId="0" fillId="20" borderId="82" xfId="65" applyFont="1" applyFill="1" applyBorder="1" applyAlignment="1" applyProtection="1">
      <alignment horizontal="left" vertical="top" wrapText="1"/>
      <protection/>
    </xf>
    <xf numFmtId="0" fontId="0" fillId="20" borderId="81" xfId="65" applyFont="1" applyFill="1" applyBorder="1" applyAlignment="1" applyProtection="1">
      <alignment horizontal="left" vertical="top" wrapText="1"/>
      <protection/>
    </xf>
    <xf numFmtId="0" fontId="0" fillId="0" borderId="110" xfId="65" applyFont="1" applyFill="1" applyBorder="1" applyAlignment="1" applyProtection="1">
      <alignment horizontal="left" vertical="top" wrapText="1"/>
      <protection/>
    </xf>
    <xf numFmtId="0" fontId="0" fillId="0" borderId="54" xfId="65" applyFont="1" applyFill="1" applyBorder="1" applyAlignment="1" applyProtection="1">
      <alignment horizontal="left" vertical="top" wrapText="1"/>
      <protection/>
    </xf>
    <xf numFmtId="0" fontId="0" fillId="0" borderId="19" xfId="65" applyFont="1" applyBorder="1" applyProtection="1">
      <alignment/>
      <protection/>
    </xf>
    <xf numFmtId="166" fontId="37" fillId="0" borderId="37" xfId="65" applyNumberFormat="1" applyFont="1" applyBorder="1" applyAlignment="1" applyProtection="1">
      <alignment horizontal="center"/>
      <protection/>
    </xf>
    <xf numFmtId="166" fontId="37" fillId="0" borderId="0" xfId="65" applyNumberFormat="1" applyFont="1" applyBorder="1" applyAlignment="1" applyProtection="1">
      <alignment horizontal="center"/>
      <protection/>
    </xf>
    <xf numFmtId="166" fontId="37" fillId="0" borderId="23" xfId="65" applyNumberFormat="1" applyFont="1" applyBorder="1" applyAlignment="1" applyProtection="1">
      <alignment horizontal="center"/>
      <protection/>
    </xf>
    <xf numFmtId="166" fontId="37" fillId="0" borderId="37" xfId="65" applyNumberFormat="1" applyFont="1" applyFill="1" applyBorder="1" applyAlignment="1" applyProtection="1">
      <alignment horizontal="center" vertical="top" wrapText="1"/>
      <protection/>
    </xf>
    <xf numFmtId="166" fontId="37" fillId="0" borderId="0" xfId="65" applyNumberFormat="1" applyFont="1" applyFill="1" applyBorder="1" applyAlignment="1" applyProtection="1">
      <alignment horizontal="center" vertical="top" wrapText="1"/>
      <protection/>
    </xf>
    <xf numFmtId="166" fontId="37" fillId="0" borderId="19" xfId="65" applyNumberFormat="1" applyFont="1" applyFill="1" applyBorder="1" applyAlignment="1" applyProtection="1">
      <alignment horizontal="center" vertical="top" wrapText="1"/>
      <protection/>
    </xf>
    <xf numFmtId="0" fontId="0" fillId="0" borderId="19" xfId="65" applyFont="1" applyFill="1" applyBorder="1" applyAlignment="1" applyProtection="1">
      <alignment horizontal="left" vertical="top" wrapText="1"/>
      <protection/>
    </xf>
    <xf numFmtId="0" fontId="37" fillId="6" borderId="37" xfId="65" applyFont="1" applyFill="1" applyBorder="1" applyAlignment="1" applyProtection="1">
      <alignment horizontal="left" vertical="top" wrapText="1"/>
      <protection locked="0"/>
    </xf>
    <xf numFmtId="0" fontId="37" fillId="6" borderId="0" xfId="65" applyFont="1" applyFill="1" applyBorder="1" applyAlignment="1" applyProtection="1">
      <alignment horizontal="left" vertical="top" wrapText="1"/>
      <protection locked="0"/>
    </xf>
    <xf numFmtId="0" fontId="37" fillId="6" borderId="19" xfId="65" applyFont="1" applyFill="1" applyBorder="1" applyAlignment="1" applyProtection="1">
      <alignment horizontal="left" vertical="top" wrapText="1"/>
      <protection locked="0"/>
    </xf>
    <xf numFmtId="1" fontId="37" fillId="0" borderId="37" xfId="65" applyNumberFormat="1" applyFont="1" applyFill="1" applyBorder="1" applyAlignment="1" applyProtection="1">
      <alignment horizontal="center" vertical="top" wrapText="1"/>
      <protection/>
    </xf>
    <xf numFmtId="1" fontId="37" fillId="0" borderId="37" xfId="65" applyNumberFormat="1" applyFont="1" applyBorder="1" applyAlignment="1" applyProtection="1">
      <alignment horizontal="center"/>
      <protection/>
    </xf>
    <xf numFmtId="37" fontId="37" fillId="0" borderId="37" xfId="65" applyNumberFormat="1" applyFont="1" applyFill="1" applyBorder="1" applyAlignment="1" applyProtection="1">
      <alignment horizontal="center" vertical="top" wrapText="1"/>
      <protection/>
    </xf>
    <xf numFmtId="37" fontId="37" fillId="0" borderId="37" xfId="42" applyNumberFormat="1" applyFont="1" applyBorder="1" applyAlignment="1" applyProtection="1">
      <alignment horizontal="center"/>
      <protection/>
    </xf>
    <xf numFmtId="37" fontId="37" fillId="0" borderId="0" xfId="42" applyNumberFormat="1" applyFont="1" applyBorder="1" applyAlignment="1" applyProtection="1">
      <alignment horizontal="center"/>
      <protection/>
    </xf>
    <xf numFmtId="37" fontId="37" fillId="0" borderId="23" xfId="42" applyNumberFormat="1" applyFont="1" applyBorder="1" applyAlignment="1" applyProtection="1">
      <alignment horizontal="center"/>
      <protection/>
    </xf>
    <xf numFmtId="1" fontId="37" fillId="0" borderId="0" xfId="65" applyNumberFormat="1" applyFont="1" applyBorder="1" applyAlignment="1" applyProtection="1">
      <alignment horizontal="center"/>
      <protection/>
    </xf>
    <xf numFmtId="1" fontId="37" fillId="0" borderId="23" xfId="65" applyNumberFormat="1" applyFont="1" applyBorder="1" applyAlignment="1" applyProtection="1">
      <alignment horizontal="center"/>
      <protection/>
    </xf>
    <xf numFmtId="0" fontId="37" fillId="0" borderId="55" xfId="65" applyFont="1" applyFill="1" applyBorder="1" applyAlignment="1" applyProtection="1">
      <alignment horizontal="center" vertical="top" wrapText="1"/>
      <protection/>
    </xf>
    <xf numFmtId="0" fontId="37" fillId="0" borderId="91" xfId="65" applyFont="1" applyFill="1" applyBorder="1" applyAlignment="1" applyProtection="1">
      <alignment horizontal="center" vertical="top" wrapText="1"/>
      <protection/>
    </xf>
    <xf numFmtId="0" fontId="37" fillId="0" borderId="44" xfId="65" applyFont="1" applyFill="1" applyBorder="1" applyAlignment="1" applyProtection="1">
      <alignment horizontal="center" vertical="top" wrapText="1"/>
      <protection/>
    </xf>
    <xf numFmtId="0" fontId="37" fillId="0" borderId="55" xfId="65" applyFont="1" applyFill="1" applyBorder="1" applyAlignment="1" applyProtection="1">
      <alignment horizontal="center"/>
      <protection/>
    </xf>
    <xf numFmtId="0" fontId="37" fillId="0" borderId="91" xfId="65" applyFont="1" applyFill="1" applyBorder="1" applyAlignment="1" applyProtection="1">
      <alignment horizontal="center"/>
      <protection/>
    </xf>
    <xf numFmtId="0" fontId="37" fillId="0" borderId="108" xfId="65" applyFont="1" applyFill="1" applyBorder="1" applyAlignment="1" applyProtection="1">
      <alignment horizontal="center"/>
      <protection/>
    </xf>
    <xf numFmtId="37" fontId="37" fillId="0" borderId="37" xfId="42" applyNumberFormat="1" applyFont="1" applyFill="1" applyBorder="1" applyAlignment="1" applyProtection="1">
      <alignment horizontal="center"/>
      <protection/>
    </xf>
    <xf numFmtId="37" fontId="37" fillId="0" borderId="0" xfId="42" applyNumberFormat="1" applyFont="1" applyFill="1" applyBorder="1" applyAlignment="1" applyProtection="1">
      <alignment horizontal="center"/>
      <protection/>
    </xf>
    <xf numFmtId="37" fontId="37" fillId="0" borderId="23" xfId="42" applyNumberFormat="1" applyFont="1" applyFill="1" applyBorder="1" applyAlignment="1" applyProtection="1">
      <alignment horizontal="center"/>
      <protection/>
    </xf>
    <xf numFmtId="1" fontId="37" fillId="0" borderId="0" xfId="65" applyNumberFormat="1" applyFont="1" applyFill="1" applyBorder="1" applyAlignment="1" applyProtection="1">
      <alignment horizontal="center" vertical="top" wrapText="1"/>
      <protection/>
    </xf>
    <xf numFmtId="1" fontId="37" fillId="0" borderId="19" xfId="65" applyNumberFormat="1" applyFont="1" applyFill="1" applyBorder="1" applyAlignment="1" applyProtection="1">
      <alignment horizontal="center" vertical="top" wrapText="1"/>
      <protection/>
    </xf>
    <xf numFmtId="1" fontId="37" fillId="0" borderId="23" xfId="65" applyNumberFormat="1" applyFont="1" applyFill="1" applyBorder="1" applyAlignment="1" applyProtection="1">
      <alignment horizontal="center" vertical="top" wrapText="1"/>
      <protection/>
    </xf>
    <xf numFmtId="2" fontId="37" fillId="0" borderId="86" xfId="65" applyNumberFormat="1" applyFont="1" applyFill="1" applyBorder="1" applyAlignment="1" applyProtection="1">
      <alignment horizontal="center" vertical="top" wrapText="1"/>
      <protection/>
    </xf>
    <xf numFmtId="2" fontId="37" fillId="0" borderId="93" xfId="65" applyNumberFormat="1" applyFont="1" applyFill="1" applyBorder="1" applyAlignment="1" applyProtection="1">
      <alignment horizontal="center" vertical="top" wrapText="1"/>
      <protection/>
    </xf>
    <xf numFmtId="2" fontId="37" fillId="0" borderId="54" xfId="65" applyNumberFormat="1" applyFont="1" applyFill="1" applyBorder="1" applyAlignment="1" applyProtection="1">
      <alignment horizontal="center" vertical="top" wrapText="1"/>
      <protection/>
    </xf>
    <xf numFmtId="2" fontId="37" fillId="0" borderId="86" xfId="65" applyNumberFormat="1" applyFont="1" applyBorder="1" applyAlignment="1" applyProtection="1">
      <alignment horizontal="center"/>
      <protection/>
    </xf>
    <xf numFmtId="2" fontId="37" fillId="0" borderId="93" xfId="65" applyNumberFormat="1" applyFont="1" applyBorder="1" applyAlignment="1" applyProtection="1">
      <alignment horizontal="center"/>
      <protection/>
    </xf>
    <xf numFmtId="2" fontId="37" fillId="0" borderId="96" xfId="65" applyNumberFormat="1" applyFont="1" applyBorder="1" applyAlignment="1" applyProtection="1">
      <alignment horizontal="center"/>
      <protection/>
    </xf>
    <xf numFmtId="0" fontId="0" fillId="0" borderId="93" xfId="65" applyFont="1" applyFill="1" applyBorder="1" applyAlignment="1" applyProtection="1">
      <alignment horizontal="left" vertical="top" wrapText="1"/>
      <protection/>
    </xf>
    <xf numFmtId="0" fontId="37" fillId="0" borderId="108" xfId="65" applyFont="1" applyFill="1" applyBorder="1" applyAlignment="1" applyProtection="1">
      <alignment horizontal="center" vertical="top" wrapText="1"/>
      <protection/>
    </xf>
    <xf numFmtId="0" fontId="0" fillId="0" borderId="28" xfId="65" applyFont="1" applyFill="1" applyBorder="1" applyAlignment="1" applyProtection="1">
      <alignment horizontal="left" vertical="top" wrapText="1"/>
      <protection/>
    </xf>
    <xf numFmtId="0" fontId="0" fillId="0" borderId="29" xfId="65" applyFont="1" applyFill="1" applyBorder="1" applyAlignment="1" applyProtection="1">
      <alignment horizontal="left" vertical="top" wrapText="1"/>
      <protection/>
    </xf>
    <xf numFmtId="0" fontId="37" fillId="0" borderId="29" xfId="65" applyFont="1" applyFill="1" applyBorder="1" applyAlignment="1" applyProtection="1">
      <alignment horizontal="center" vertical="top" wrapText="1"/>
      <protection/>
    </xf>
    <xf numFmtId="0" fontId="0" fillId="0" borderId="106" xfId="65" applyFont="1" applyFill="1" applyBorder="1" applyAlignment="1" applyProtection="1">
      <alignment horizontal="left" vertical="top" wrapText="1"/>
      <protection/>
    </xf>
    <xf numFmtId="0" fontId="0" fillId="0" borderId="91" xfId="65" applyFont="1" applyFill="1" applyBorder="1" applyAlignment="1" applyProtection="1">
      <alignment horizontal="left" vertical="top" wrapText="1"/>
      <protection/>
    </xf>
    <xf numFmtId="0" fontId="37" fillId="0" borderId="55" xfId="65" applyFont="1" applyBorder="1" applyAlignment="1" applyProtection="1">
      <alignment horizontal="center"/>
      <protection/>
    </xf>
    <xf numFmtId="0" fontId="37" fillId="0" borderId="91" xfId="65" applyFont="1" applyBorder="1" applyAlignment="1" applyProtection="1">
      <alignment horizontal="center"/>
      <protection/>
    </xf>
    <xf numFmtId="0" fontId="37" fillId="0" borderId="108" xfId="65" applyFont="1" applyBorder="1" applyAlignment="1" applyProtection="1">
      <alignment horizontal="center"/>
      <protection/>
    </xf>
    <xf numFmtId="0" fontId="0" fillId="20" borderId="106" xfId="65" applyFont="1" applyFill="1" applyBorder="1" applyAlignment="1" applyProtection="1">
      <alignment horizontal="left" vertical="top" wrapText="1"/>
      <protection/>
    </xf>
    <xf numFmtId="0" fontId="0" fillId="20" borderId="91" xfId="65" applyFont="1" applyFill="1" applyBorder="1" applyAlignment="1" applyProtection="1">
      <alignment horizontal="left" vertical="top" wrapText="1"/>
      <protection/>
    </xf>
    <xf numFmtId="0" fontId="0" fillId="20" borderId="108" xfId="65" applyFont="1" applyFill="1" applyBorder="1" applyAlignment="1" applyProtection="1">
      <alignment horizontal="left" vertical="top" wrapText="1"/>
      <protection/>
    </xf>
    <xf numFmtId="0" fontId="0" fillId="20" borderId="116" xfId="65" applyFont="1" applyFill="1" applyBorder="1" applyAlignment="1" applyProtection="1">
      <alignment horizontal="left" wrapText="1"/>
      <protection/>
    </xf>
    <xf numFmtId="0" fontId="0" fillId="20" borderId="82" xfId="65" applyFont="1" applyFill="1" applyBorder="1" applyAlignment="1" applyProtection="1">
      <alignment horizontal="left" wrapText="1"/>
      <protection/>
    </xf>
    <xf numFmtId="0" fontId="0" fillId="20" borderId="81" xfId="65" applyFont="1" applyFill="1" applyBorder="1" applyAlignment="1" applyProtection="1">
      <alignment horizontal="left" wrapText="1"/>
      <protection/>
    </xf>
    <xf numFmtId="0" fontId="0" fillId="0" borderId="82" xfId="65" applyBorder="1" applyProtection="1">
      <alignment/>
      <protection/>
    </xf>
    <xf numFmtId="0" fontId="0" fillId="0" borderId="91" xfId="65" applyBorder="1" applyProtection="1">
      <alignment/>
      <protection/>
    </xf>
    <xf numFmtId="0" fontId="0" fillId="0" borderId="108" xfId="65" applyBorder="1" applyProtection="1">
      <alignment/>
      <protection/>
    </xf>
    <xf numFmtId="0" fontId="0" fillId="20" borderId="91" xfId="65" applyFont="1" applyFill="1" applyBorder="1" applyAlignment="1" applyProtection="1">
      <alignment horizontal="left" wrapText="1"/>
      <protection/>
    </xf>
    <xf numFmtId="0" fontId="29" fillId="0" borderId="40" xfId="65" applyFont="1" applyFill="1" applyBorder="1" applyAlignment="1" applyProtection="1">
      <alignment horizontal="left" vertical="top" wrapText="1"/>
      <protection/>
    </xf>
    <xf numFmtId="0" fontId="29" fillId="0" borderId="19" xfId="65" applyFont="1" applyFill="1" applyBorder="1" applyAlignment="1" applyProtection="1">
      <alignment horizontal="left" vertical="top" wrapText="1"/>
      <protection/>
    </xf>
    <xf numFmtId="0" fontId="29" fillId="0" borderId="28" xfId="65" applyFont="1" applyFill="1" applyBorder="1" applyAlignment="1" applyProtection="1">
      <alignment horizontal="left" vertical="top" wrapText="1"/>
      <protection/>
    </xf>
    <xf numFmtId="0" fontId="29" fillId="0" borderId="100" xfId="65" applyFont="1" applyFill="1" applyBorder="1" applyAlignment="1" applyProtection="1">
      <alignment horizontal="left" vertical="top" wrapText="1"/>
      <protection/>
    </xf>
    <xf numFmtId="0" fontId="0" fillId="20" borderId="93" xfId="65" applyFont="1" applyFill="1" applyBorder="1" applyAlignment="1" applyProtection="1">
      <alignment horizontal="left" wrapText="1"/>
      <protection/>
    </xf>
    <xf numFmtId="0" fontId="0" fillId="0" borderId="81" xfId="65" applyBorder="1" applyProtection="1">
      <alignment/>
      <protection/>
    </xf>
    <xf numFmtId="0" fontId="8" fillId="0" borderId="29" xfId="68" applyFont="1" applyFill="1" applyBorder="1" applyAlignment="1" applyProtection="1">
      <alignment horizontal="center"/>
      <protection/>
    </xf>
    <xf numFmtId="0" fontId="8" fillId="0" borderId="100" xfId="68" applyFont="1" applyFill="1" applyBorder="1" applyAlignment="1" applyProtection="1">
      <alignment horizontal="center"/>
      <protection/>
    </xf>
    <xf numFmtId="0" fontId="8" fillId="0" borderId="0" xfId="68" applyFont="1" applyAlignment="1" applyProtection="1">
      <alignment horizontal="center"/>
      <protection/>
    </xf>
    <xf numFmtId="0" fontId="0" fillId="0" borderId="0" xfId="69" applyFont="1" applyFill="1" applyAlignment="1" applyProtection="1">
      <alignment vertical="top"/>
      <protection/>
    </xf>
    <xf numFmtId="0" fontId="0" fillId="0" borderId="0" xfId="65" applyFont="1" applyFill="1" applyAlignment="1" applyProtection="1">
      <alignment vertical="top" wrapText="1"/>
      <protection/>
    </xf>
    <xf numFmtId="0" fontId="44" fillId="22" borderId="27" xfId="69" applyFont="1" applyFill="1" applyBorder="1" applyAlignment="1">
      <alignment horizontal="center"/>
      <protection/>
    </xf>
    <xf numFmtId="0" fontId="44" fillId="22" borderId="25" xfId="69" applyFont="1" applyFill="1" applyBorder="1" applyAlignment="1">
      <alignment horizontal="center"/>
      <protection/>
    </xf>
    <xf numFmtId="0" fontId="44" fillId="22" borderId="26" xfId="69" applyFont="1" applyFill="1" applyBorder="1" applyAlignment="1">
      <alignment horizontal="center"/>
      <protection/>
    </xf>
    <xf numFmtId="0" fontId="39" fillId="22" borderId="85" xfId="69" applyFont="1" applyFill="1" applyBorder="1" applyAlignment="1">
      <alignment horizontal="center"/>
      <protection/>
    </xf>
    <xf numFmtId="0" fontId="39" fillId="22" borderId="50" xfId="69" applyFont="1" applyFill="1" applyBorder="1" applyAlignment="1">
      <alignment horizontal="center"/>
      <protection/>
    </xf>
    <xf numFmtId="0" fontId="39" fillId="22" borderId="43" xfId="69" applyFont="1" applyFill="1" applyBorder="1" applyAlignment="1">
      <alignment horizontal="center"/>
      <protection/>
    </xf>
    <xf numFmtId="0" fontId="39" fillId="22" borderId="94" xfId="69" applyFont="1" applyFill="1" applyBorder="1" applyAlignment="1">
      <alignment horizontal="center"/>
      <protection/>
    </xf>
    <xf numFmtId="0" fontId="39" fillId="22" borderId="124" xfId="69" applyFont="1" applyFill="1" applyBorder="1" applyAlignment="1">
      <alignment horizontal="center"/>
      <protection/>
    </xf>
    <xf numFmtId="0" fontId="39" fillId="22" borderId="33" xfId="69" applyFont="1" applyFill="1" applyBorder="1" applyAlignment="1">
      <alignment horizontal="center"/>
      <protection/>
    </xf>
    <xf numFmtId="0" fontId="39" fillId="22" borderId="89" xfId="69" applyFont="1" applyFill="1" applyBorder="1" applyAlignment="1">
      <alignment horizontal="center"/>
      <protection/>
    </xf>
    <xf numFmtId="0" fontId="0" fillId="0" borderId="0" xfId="0" applyFont="1" applyAlignment="1" applyProtection="1">
      <alignment horizontal="left"/>
      <protection/>
    </xf>
    <xf numFmtId="0" fontId="0" fillId="17" borderId="0" xfId="0" applyFont="1" applyFill="1" applyAlignment="1" applyProtection="1">
      <alignment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0" fillId="7" borderId="16" xfId="0" applyFill="1" applyBorder="1" applyAlignment="1" applyProtection="1">
      <alignment/>
      <protection/>
    </xf>
    <xf numFmtId="0" fontId="0" fillId="0" borderId="16" xfId="0" applyFill="1" applyBorder="1" applyAlignment="1" applyProtection="1">
      <alignment/>
      <protection/>
    </xf>
    <xf numFmtId="0" fontId="32" fillId="0" borderId="0" xfId="0" applyFont="1" applyAlignment="1" applyProtection="1">
      <alignment horizontal="right"/>
      <protection/>
    </xf>
    <xf numFmtId="0" fontId="32" fillId="0" borderId="19" xfId="0" applyFont="1" applyBorder="1" applyAlignment="1" applyProtection="1">
      <alignment horizontal="right"/>
      <protection/>
    </xf>
    <xf numFmtId="0" fontId="72" fillId="0" borderId="40" xfId="0" applyFont="1" applyFill="1" applyBorder="1" applyAlignment="1" applyProtection="1">
      <alignment horizontal="left" wrapText="1"/>
      <protection/>
    </xf>
    <xf numFmtId="0" fontId="72" fillId="0" borderId="0" xfId="0" applyFont="1" applyFill="1" applyBorder="1" applyAlignment="1" applyProtection="1">
      <alignment horizontal="left" wrapText="1"/>
      <protection/>
    </xf>
    <xf numFmtId="0" fontId="0" fillId="24" borderId="27" xfId="0" applyFont="1" applyFill="1" applyBorder="1" applyAlignment="1" applyProtection="1">
      <alignment horizontal="center"/>
      <protection locked="0"/>
    </xf>
    <xf numFmtId="0" fontId="0" fillId="24" borderId="25" xfId="0" applyFont="1" applyFill="1" applyBorder="1" applyAlignment="1" applyProtection="1">
      <alignment horizontal="center"/>
      <protection locked="0"/>
    </xf>
    <xf numFmtId="0" fontId="0" fillId="24" borderId="26" xfId="0" applyFont="1" applyFill="1" applyBorder="1" applyAlignment="1" applyProtection="1">
      <alignment horizontal="center"/>
      <protection locked="0"/>
    </xf>
    <xf numFmtId="0" fontId="28" fillId="0" borderId="90" xfId="0" applyFont="1" applyFill="1" applyBorder="1" applyAlignment="1" applyProtection="1">
      <alignment horizontal="center" wrapText="1"/>
      <protection/>
    </xf>
    <xf numFmtId="0" fontId="28" fillId="0" borderId="82" xfId="0" applyFont="1" applyFill="1" applyBorder="1" applyAlignment="1" applyProtection="1">
      <alignment horizontal="center" wrapText="1"/>
      <protection/>
    </xf>
    <xf numFmtId="0" fontId="28" fillId="0" borderId="92" xfId="0" applyFont="1" applyFill="1" applyBorder="1" applyAlignment="1" applyProtection="1">
      <alignment horizontal="center" wrapText="1"/>
      <protection/>
    </xf>
    <xf numFmtId="0" fontId="28" fillId="0" borderId="39" xfId="0" applyFont="1" applyFill="1" applyBorder="1" applyAlignment="1" applyProtection="1">
      <alignment horizontal="left" wrapText="1"/>
      <protection/>
    </xf>
    <xf numFmtId="0" fontId="28" fillId="0" borderId="38" xfId="0" applyFont="1" applyFill="1" applyBorder="1" applyAlignment="1" applyProtection="1">
      <alignment horizontal="left" wrapText="1"/>
      <protection/>
    </xf>
    <xf numFmtId="0" fontId="28" fillId="0" borderId="86" xfId="0" applyFont="1" applyFill="1" applyBorder="1" applyAlignment="1" applyProtection="1">
      <alignment horizontal="center" wrapText="1"/>
      <protection/>
    </xf>
    <xf numFmtId="0" fontId="28" fillId="0" borderId="93" xfId="0" applyFont="1" applyFill="1" applyBorder="1" applyAlignment="1" applyProtection="1">
      <alignment horizontal="center" wrapText="1"/>
      <protection/>
    </xf>
    <xf numFmtId="0" fontId="28" fillId="0" borderId="54" xfId="0" applyFont="1" applyFill="1" applyBorder="1" applyAlignment="1" applyProtection="1">
      <alignment horizontal="center" wrapText="1"/>
      <protection/>
    </xf>
    <xf numFmtId="2" fontId="0" fillId="33" borderId="27" xfId="0" applyNumberFormat="1" applyFill="1" applyBorder="1" applyAlignment="1" applyProtection="1">
      <alignment horizontal="center"/>
      <protection locked="0"/>
    </xf>
    <xf numFmtId="2" fontId="0" fillId="33" borderId="25" xfId="0" applyNumberFormat="1" applyFill="1" applyBorder="1" applyAlignment="1" applyProtection="1">
      <alignment horizontal="center"/>
      <protection locked="0"/>
    </xf>
    <xf numFmtId="2" fontId="0" fillId="33" borderId="26" xfId="0" applyNumberFormat="1" applyFill="1" applyBorder="1" applyAlignment="1" applyProtection="1">
      <alignment horizontal="center"/>
      <protection locked="0"/>
    </xf>
    <xf numFmtId="0" fontId="0" fillId="24" borderId="26" xfId="0" applyFill="1" applyBorder="1" applyAlignment="1" applyProtection="1">
      <alignment horizontal="center"/>
      <protection locked="0"/>
    </xf>
    <xf numFmtId="0" fontId="0" fillId="24" borderId="20" xfId="0" applyFill="1" applyBorder="1" applyAlignment="1" applyProtection="1">
      <alignment horizontal="center"/>
      <protection locked="0"/>
    </xf>
    <xf numFmtId="0" fontId="0" fillId="0" borderId="0" xfId="0" applyFill="1" applyBorder="1" applyAlignment="1" applyProtection="1">
      <alignment horizontal="center"/>
      <protection/>
    </xf>
    <xf numFmtId="0" fontId="0" fillId="0" borderId="23" xfId="0" applyFill="1" applyBorder="1" applyAlignment="1" applyProtection="1">
      <alignment horizontal="center"/>
      <protection/>
    </xf>
    <xf numFmtId="0" fontId="27" fillId="0" borderId="26" xfId="0" applyFont="1" applyFill="1" applyBorder="1" applyAlignment="1" applyProtection="1">
      <alignment horizontal="center"/>
      <protection/>
    </xf>
    <xf numFmtId="0" fontId="27" fillId="0" borderId="20" xfId="0" applyFont="1" applyFill="1" applyBorder="1" applyAlignment="1" applyProtection="1">
      <alignment horizontal="center"/>
      <protection/>
    </xf>
    <xf numFmtId="0" fontId="27" fillId="0" borderId="107" xfId="0" applyFont="1" applyFill="1" applyBorder="1" applyAlignment="1" applyProtection="1">
      <alignment horizontal="center"/>
      <protection/>
    </xf>
    <xf numFmtId="0" fontId="27" fillId="0" borderId="125" xfId="0" applyFont="1" applyFill="1" applyBorder="1" applyAlignment="1" applyProtection="1">
      <alignment horizontal="center"/>
      <protection/>
    </xf>
    <xf numFmtId="3" fontId="0" fillId="0" borderId="107" xfId="0" applyNumberFormat="1" applyFill="1" applyBorder="1" applyAlignment="1" applyProtection="1">
      <alignment horizontal="center"/>
      <protection/>
    </xf>
    <xf numFmtId="0" fontId="0" fillId="0" borderId="125" xfId="0" applyFill="1" applyBorder="1" applyAlignment="1" applyProtection="1">
      <alignment horizontal="center"/>
      <protection/>
    </xf>
    <xf numFmtId="0" fontId="0" fillId="24" borderId="26" xfId="0" applyFont="1" applyFill="1" applyBorder="1" applyAlignment="1" applyProtection="1">
      <alignment horizontal="center"/>
      <protection locked="0"/>
    </xf>
    <xf numFmtId="0" fontId="39" fillId="0" borderId="42" xfId="0" applyFont="1" applyBorder="1" applyAlignment="1" applyProtection="1">
      <alignment horizontal="center"/>
      <protection/>
    </xf>
    <xf numFmtId="0" fontId="39" fillId="0" borderId="50" xfId="0" applyFont="1" applyBorder="1" applyAlignment="1" applyProtection="1">
      <alignment horizontal="center"/>
      <protection/>
    </xf>
    <xf numFmtId="0" fontId="39" fillId="0" borderId="83" xfId="0" applyFont="1" applyBorder="1" applyAlignment="1" applyProtection="1">
      <alignment horizontal="center"/>
      <protection/>
    </xf>
    <xf numFmtId="0" fontId="39" fillId="0" borderId="39" xfId="0" applyFont="1" applyFill="1" applyBorder="1" applyAlignment="1" applyProtection="1">
      <alignment horizontal="center" wrapText="1"/>
      <protection/>
    </xf>
    <xf numFmtId="0" fontId="39" fillId="0" borderId="90" xfId="0" applyFont="1" applyBorder="1" applyAlignment="1" applyProtection="1">
      <alignment horizontal="center"/>
      <protection/>
    </xf>
    <xf numFmtId="0" fontId="39" fillId="0" borderId="92" xfId="0" applyFont="1" applyBorder="1" applyAlignment="1" applyProtection="1">
      <alignment horizontal="center"/>
      <protection/>
    </xf>
    <xf numFmtId="0" fontId="39" fillId="0" borderId="82" xfId="0" applyFont="1" applyBorder="1" applyAlignment="1" applyProtection="1">
      <alignment horizontal="center"/>
      <protection/>
    </xf>
    <xf numFmtId="0" fontId="12" fillId="21" borderId="123" xfId="0" applyFont="1" applyFill="1" applyBorder="1" applyAlignment="1" applyProtection="1">
      <alignment horizontal="center"/>
      <protection/>
    </xf>
    <xf numFmtId="0" fontId="12" fillId="21" borderId="45" xfId="0" applyFont="1" applyFill="1" applyBorder="1" applyAlignment="1" applyProtection="1">
      <alignment horizontal="center"/>
      <protection/>
    </xf>
    <xf numFmtId="0" fontId="12" fillId="21" borderId="84" xfId="0" applyFont="1" applyFill="1" applyBorder="1" applyAlignment="1" applyProtection="1">
      <alignment horizontal="center"/>
      <protection/>
    </xf>
    <xf numFmtId="0" fontId="12" fillId="21" borderId="31" xfId="0" applyFont="1" applyFill="1" applyBorder="1" applyAlignment="1" applyProtection="1">
      <alignment horizontal="center"/>
      <protection/>
    </xf>
    <xf numFmtId="0" fontId="12" fillId="21" borderId="23" xfId="0" applyFont="1" applyFill="1" applyBorder="1" applyAlignment="1" applyProtection="1">
      <alignment horizontal="center" wrapText="1"/>
      <protection/>
    </xf>
    <xf numFmtId="0" fontId="12" fillId="21" borderId="27" xfId="0" applyFont="1" applyFill="1" applyBorder="1" applyAlignment="1" applyProtection="1">
      <alignment/>
      <protection/>
    </xf>
    <xf numFmtId="0" fontId="0" fillId="0" borderId="25" xfId="0" applyBorder="1" applyAlignment="1" applyProtection="1">
      <alignment/>
      <protection/>
    </xf>
    <xf numFmtId="0" fontId="0" fillId="0" borderId="107" xfId="0" applyBorder="1" applyAlignment="1" applyProtection="1">
      <alignment/>
      <protection/>
    </xf>
    <xf numFmtId="0" fontId="0" fillId="0" borderId="27" xfId="0" applyBorder="1" applyAlignment="1" applyProtection="1">
      <alignment/>
      <protection/>
    </xf>
    <xf numFmtId="0" fontId="0" fillId="0" borderId="27" xfId="0" applyFont="1" applyBorder="1" applyAlignment="1" applyProtection="1">
      <alignment/>
      <protection/>
    </xf>
    <xf numFmtId="0" fontId="0" fillId="0" borderId="25" xfId="0" applyFont="1" applyBorder="1" applyAlignment="1" applyProtection="1">
      <alignment/>
      <protection/>
    </xf>
    <xf numFmtId="0" fontId="0" fillId="0" borderId="107" xfId="0" applyFont="1" applyBorder="1" applyAlignment="1" applyProtection="1">
      <alignment/>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Currency 2" xfId="50"/>
    <cellStyle name="Currency 2 2"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NC - Project Name - ERP Tables_rev0_SWA" xfId="65"/>
    <cellStyle name="Normal 3" xfId="66"/>
    <cellStyle name="Normal 4" xfId="67"/>
    <cellStyle name="Normal_Supporting Info" xfId="68"/>
    <cellStyle name="Normal_WaterCalc 11 07 08" xfId="69"/>
    <cellStyle name="Note" xfId="70"/>
    <cellStyle name="Note 2" xfId="71"/>
    <cellStyle name="Output" xfId="72"/>
    <cellStyle name="Percent" xfId="73"/>
    <cellStyle name="Percent 2" xfId="74"/>
    <cellStyle name="Percent 2 2" xfId="75"/>
    <cellStyle name="Title" xfId="76"/>
    <cellStyle name="Total" xfId="77"/>
    <cellStyle name="Warning Text" xfId="78"/>
  </cellStyles>
  <dxfs count="27">
    <dxf>
      <font>
        <color auto="1"/>
      </font>
      <fill>
        <patternFill>
          <bgColor indexed="10"/>
        </patternFill>
      </fill>
    </dxf>
    <dxf>
      <font>
        <color auto="1"/>
      </font>
      <fill>
        <patternFill>
          <bgColor indexed="10"/>
        </patternFill>
      </fill>
    </dxf>
    <dxf>
      <font>
        <color auto="1"/>
      </font>
      <fill>
        <patternFill>
          <bgColor indexed="10"/>
        </patternFill>
      </fill>
    </dxf>
    <dxf>
      <font>
        <color theme="0"/>
      </font>
    </dxf>
    <dxf>
      <font>
        <b/>
        <i val="0"/>
      </font>
    </dxf>
    <dxf>
      <font>
        <b/>
        <i val="0"/>
      </font>
    </dxf>
    <dxf>
      <font>
        <color theme="0"/>
      </font>
    </dxf>
    <dxf>
      <font>
        <b/>
        <i val="0"/>
      </font>
    </dxf>
    <dxf>
      <font>
        <color theme="0"/>
      </font>
    </dxf>
    <dxf>
      <font>
        <b val="0"/>
        <i val="0"/>
        <color auto="1"/>
      </font>
    </dxf>
    <dxf>
      <font>
        <color theme="0"/>
      </font>
    </dxf>
    <dxf>
      <font>
        <b/>
        <i val="0"/>
      </font>
    </dxf>
    <dxf>
      <fill>
        <patternFill>
          <bgColor rgb="FFFF0000"/>
        </patternFill>
      </fill>
    </dxf>
    <dxf>
      <font>
        <color rgb="FFFF0000"/>
      </font>
    </dxf>
    <dxf>
      <font>
        <color auto="1"/>
      </font>
      <fill>
        <patternFill>
          <bgColor indexed="10"/>
        </patternFill>
      </fill>
    </dxf>
    <dxf>
      <font>
        <color rgb="FF9C0006"/>
      </font>
      <fill>
        <patternFill>
          <bgColor rgb="FFFFC7CE"/>
        </patternFill>
      </fill>
    </dxf>
    <dxf>
      <fill>
        <patternFill>
          <bgColor rgb="FFFF0000"/>
        </patternFill>
      </fill>
    </dxf>
    <dxf>
      <fill>
        <patternFill>
          <bgColor rgb="FFFF0000"/>
        </patternFill>
      </fill>
    </dxf>
    <dxf>
      <font>
        <color auto="1"/>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Support_Docs\NYSRDA_MF_Performance_Prg\Modeling%20Partner%20Resources\New%20Construction\Official%20Project%20Name%20-%20Draft%20Proposed%20ERP%20Tables_rev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DeAlmagro\Downloads\2010-zone2%20exteri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 and Vent TREAT"/>
      <sheetName val="Windows eQuest"/>
      <sheetName val="Lighting eQuest"/>
      <sheetName val="DHW eQuest"/>
      <sheetName val="Appliances eQuest"/>
      <sheetName val="Result Summary eQuest"/>
      <sheetName val="Basic Info"/>
      <sheetName val="Exterior Lighting"/>
      <sheetName val="In-unit Lighting"/>
      <sheetName val="Interior Lighting"/>
      <sheetName val="Lighting Schedule"/>
      <sheetName val="Inf and Vent NEW"/>
      <sheetName val="Cooling Eff and Fan Power"/>
      <sheetName val="Water Savings"/>
      <sheetName val="Simulation Summary"/>
      <sheetName val="Tables of Values"/>
      <sheetName val="RECS - Baseline"/>
      <sheetName val="Locator Map"/>
      <sheetName val="Side Calcs - Baseline"/>
      <sheetName val="ZipCode Map"/>
      <sheetName val="Worksheet - Design - Baseline"/>
      <sheetName val="RECS - Proposed"/>
      <sheetName val="Worksheet - Design - Proposed"/>
      <sheetName val="Side Calcs - Proposed"/>
      <sheetName val="ERP - Instructions"/>
      <sheetName val="ERP - Simulation Summary"/>
      <sheetName val="ERP - Recommendations Summary"/>
      <sheetName val="ERP - Financial Summary"/>
      <sheetName val="ERP - Contacts"/>
      <sheetName val="ERP - Areas"/>
      <sheetName val="ERP - Unit Count"/>
      <sheetName val="ERP - Components"/>
      <sheetName val="ERP - End Use Summary"/>
      <sheetName val="ERP - Schedule"/>
      <sheetName val="ERP - Financing Plan"/>
      <sheetName val="Zip Code Finder"/>
      <sheetName val="Help"/>
    </sheetNames>
    <sheetDataSet>
      <sheetData sheetId="10">
        <row r="3">
          <cell r="X3" t="str">
            <v>Yes</v>
          </cell>
        </row>
        <row r="4">
          <cell r="X4"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Basic Info"/>
      <sheetName val="Reporting Summary"/>
      <sheetName val="SIR by Measure"/>
      <sheetName val="LEED for Homes Mid-Rise Form"/>
      <sheetName val="Windows eQUEST"/>
      <sheetName val="Water Savings"/>
      <sheetName val="DHW Demand"/>
      <sheetName val="Appliances"/>
      <sheetName val="Lighting Schedule"/>
      <sheetName val="In-Unit Lighting"/>
      <sheetName val="Interior Lighting"/>
      <sheetName val="Exterior Lighting-Zone 2"/>
      <sheetName val="Exterior Lighting-Zone 3"/>
      <sheetName val="Infiltration&amp;Ventilation"/>
      <sheetName val="EIR for PTAC and PTHP"/>
      <sheetName val="Results from eQUEST"/>
      <sheetName val="Simulation Summary"/>
      <sheetName val="Tables of Values"/>
      <sheetName val="Exterior Lighting-Zone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6" sqref="A6:B6"/>
    </sheetView>
  </sheetViews>
  <sheetFormatPr defaultColWidth="9.140625" defaultRowHeight="12.75"/>
  <cols>
    <col min="1" max="1" width="9.140625" style="14" customWidth="1"/>
    <col min="2" max="2" width="112.7109375" style="14" customWidth="1"/>
    <col min="3" max="16384" width="9.140625" style="558" customWidth="1"/>
  </cols>
  <sheetData>
    <row r="1" spans="1:2" ht="20.25">
      <c r="A1" s="112" t="s">
        <v>675</v>
      </c>
      <c r="B1" s="113"/>
    </row>
    <row r="2" spans="1:2" ht="20.25">
      <c r="A2" s="112" t="s">
        <v>985</v>
      </c>
      <c r="B2" s="113"/>
    </row>
    <row r="3" spans="1:2" ht="13.5" thickBot="1">
      <c r="A3" s="114"/>
      <c r="B3" s="115"/>
    </row>
    <row r="4" spans="1:2" ht="35.25" customHeight="1">
      <c r="A4" s="867" t="s">
        <v>698</v>
      </c>
      <c r="B4" s="868"/>
    </row>
    <row r="5" spans="1:2" ht="15">
      <c r="A5" s="116"/>
      <c r="B5" s="117"/>
    </row>
    <row r="6" spans="1:2" ht="30.75" customHeight="1">
      <c r="A6" s="869" t="s">
        <v>697</v>
      </c>
      <c r="B6" s="870"/>
    </row>
    <row r="7" spans="1:2" ht="15">
      <c r="A7" s="116"/>
      <c r="B7" s="117"/>
    </row>
    <row r="8" spans="1:2" ht="15">
      <c r="A8" s="118" t="s">
        <v>676</v>
      </c>
      <c r="B8" s="119"/>
    </row>
    <row r="9" spans="1:2" ht="46.5">
      <c r="A9" s="118"/>
      <c r="B9" s="120" t="s">
        <v>689</v>
      </c>
    </row>
    <row r="10" spans="1:2" ht="15">
      <c r="A10" s="118"/>
      <c r="B10" s="119"/>
    </row>
    <row r="11" spans="1:2" ht="15">
      <c r="A11" s="121" t="s">
        <v>677</v>
      </c>
      <c r="B11" s="122"/>
    </row>
    <row r="12" ht="30.75">
      <c r="B12" s="120" t="s">
        <v>690</v>
      </c>
    </row>
    <row r="13" spans="1:5" ht="15">
      <c r="A13" s="118"/>
      <c r="B13" s="123"/>
      <c r="E13" s="559"/>
    </row>
    <row r="14" spans="1:2" ht="15">
      <c r="A14" s="118" t="s">
        <v>678</v>
      </c>
      <c r="B14" s="119"/>
    </row>
    <row r="15" spans="1:2" ht="30.75">
      <c r="A15" s="118"/>
      <c r="B15" s="120" t="s">
        <v>703</v>
      </c>
    </row>
    <row r="16" spans="1:2" ht="15">
      <c r="A16" s="118"/>
      <c r="B16" s="119"/>
    </row>
    <row r="17" spans="1:2" ht="15" hidden="1">
      <c r="A17" s="118" t="s">
        <v>679</v>
      </c>
      <c r="B17" s="119"/>
    </row>
    <row r="18" spans="1:2" ht="30.75" hidden="1">
      <c r="A18" s="118"/>
      <c r="B18" s="120" t="s">
        <v>691</v>
      </c>
    </row>
    <row r="19" spans="1:2" ht="15" hidden="1">
      <c r="A19" s="118"/>
      <c r="B19" s="119"/>
    </row>
    <row r="20" spans="1:2" ht="15">
      <c r="A20" s="118" t="s">
        <v>705</v>
      </c>
      <c r="B20" s="119"/>
    </row>
    <row r="21" spans="1:2" ht="30.75">
      <c r="A21" s="118"/>
      <c r="B21" s="120" t="s">
        <v>710</v>
      </c>
    </row>
    <row r="22" spans="1:2" ht="15">
      <c r="A22" s="118"/>
      <c r="B22" s="119"/>
    </row>
    <row r="23" spans="1:2" ht="15">
      <c r="A23" s="118" t="s">
        <v>680</v>
      </c>
      <c r="B23" s="119"/>
    </row>
    <row r="24" spans="1:2" ht="46.5">
      <c r="A24" s="118"/>
      <c r="B24" s="120" t="s">
        <v>692</v>
      </c>
    </row>
    <row r="25" spans="1:2" ht="12.75">
      <c r="A25" s="124"/>
      <c r="B25" s="125"/>
    </row>
    <row r="26" spans="1:2" ht="15">
      <c r="A26" s="118" t="s">
        <v>681</v>
      </c>
      <c r="B26" s="119"/>
    </row>
    <row r="27" spans="1:2" ht="30.75">
      <c r="A27" s="118"/>
      <c r="B27" s="120" t="s">
        <v>693</v>
      </c>
    </row>
    <row r="28" spans="1:2" ht="12.75">
      <c r="A28" s="124"/>
      <c r="B28" s="125"/>
    </row>
    <row r="29" spans="1:2" ht="15">
      <c r="A29" s="118" t="s">
        <v>83</v>
      </c>
      <c r="B29" s="119"/>
    </row>
    <row r="30" spans="1:2" ht="15">
      <c r="A30" s="118"/>
      <c r="B30" s="120" t="s">
        <v>694</v>
      </c>
    </row>
    <row r="31" spans="1:2" ht="12.75">
      <c r="A31" s="124"/>
      <c r="B31" s="125"/>
    </row>
    <row r="32" spans="1:2" ht="15">
      <c r="A32" s="118" t="s">
        <v>682</v>
      </c>
      <c r="B32" s="119"/>
    </row>
    <row r="33" spans="1:2" ht="30.75">
      <c r="A33" s="118"/>
      <c r="B33" s="120" t="s">
        <v>711</v>
      </c>
    </row>
    <row r="34" spans="1:2" ht="12.75">
      <c r="A34" s="124"/>
      <c r="B34" s="125"/>
    </row>
    <row r="35" spans="1:2" ht="15">
      <c r="A35" s="118" t="s">
        <v>683</v>
      </c>
      <c r="B35" s="119"/>
    </row>
    <row r="36" spans="1:2" ht="62.25">
      <c r="A36" s="126"/>
      <c r="B36" s="120" t="s">
        <v>722</v>
      </c>
    </row>
    <row r="37" spans="1:2" ht="12.75">
      <c r="A37" s="124"/>
      <c r="B37" s="125"/>
    </row>
    <row r="38" spans="1:2" ht="15">
      <c r="A38" s="118" t="s">
        <v>684</v>
      </c>
      <c r="B38" s="119"/>
    </row>
    <row r="39" spans="1:2" ht="93">
      <c r="A39" s="118"/>
      <c r="B39" s="120" t="s">
        <v>695</v>
      </c>
    </row>
    <row r="40" spans="1:2" ht="12.75">
      <c r="A40" s="124"/>
      <c r="B40" s="125"/>
    </row>
    <row r="41" spans="1:2" ht="15">
      <c r="A41" s="118" t="s">
        <v>685</v>
      </c>
      <c r="B41" s="119"/>
    </row>
    <row r="42" spans="1:2" ht="30.75">
      <c r="A42" s="118"/>
      <c r="B42" s="120" t="s">
        <v>696</v>
      </c>
    </row>
    <row r="43" spans="1:2" ht="12.75">
      <c r="A43" s="124"/>
      <c r="B43" s="125"/>
    </row>
    <row r="44" spans="1:2" ht="15">
      <c r="A44" s="118" t="s">
        <v>686</v>
      </c>
      <c r="B44" s="119"/>
    </row>
    <row r="45" spans="1:2" ht="46.5">
      <c r="A45" s="118"/>
      <c r="B45" s="120" t="s">
        <v>709</v>
      </c>
    </row>
    <row r="46" spans="1:2" ht="15">
      <c r="A46" s="118"/>
      <c r="B46" s="119"/>
    </row>
    <row r="47" spans="1:2" ht="15">
      <c r="A47" s="118" t="s">
        <v>687</v>
      </c>
      <c r="B47" s="119"/>
    </row>
    <row r="48" spans="1:2" ht="30.75">
      <c r="A48" s="118"/>
      <c r="B48" s="120" t="s">
        <v>708</v>
      </c>
    </row>
    <row r="49" spans="1:2" ht="15">
      <c r="A49" s="118"/>
      <c r="B49" s="119"/>
    </row>
    <row r="50" spans="1:2" ht="15">
      <c r="A50" s="118" t="s">
        <v>706</v>
      </c>
      <c r="B50" s="119"/>
    </row>
    <row r="51" spans="1:2" ht="46.5">
      <c r="A51" s="118"/>
      <c r="B51" s="120" t="s">
        <v>712</v>
      </c>
    </row>
    <row r="52" spans="1:2" ht="12.75">
      <c r="A52" s="124"/>
      <c r="B52" s="125"/>
    </row>
    <row r="53" spans="1:2" ht="15">
      <c r="A53" s="118" t="s">
        <v>688</v>
      </c>
      <c r="B53" s="119"/>
    </row>
    <row r="54" spans="1:2" ht="47.25" thickBot="1">
      <c r="A54" s="127"/>
      <c r="B54" s="128" t="s">
        <v>707</v>
      </c>
    </row>
  </sheetData>
  <sheetProtection sheet="1"/>
  <mergeCells count="2">
    <mergeCell ref="A4:B4"/>
    <mergeCell ref="A6:B6"/>
  </mergeCells>
  <printOptions/>
  <pageMargins left="0.7" right="0.7" top="0.75" bottom="0.75" header="0.3" footer="0.3"/>
  <pageSetup fitToHeight="1" fitToWidth="1" horizontalDpi="600" verticalDpi="600" orientation="portrait" scale="57" r:id="rId1"/>
</worksheet>
</file>

<file path=xl/worksheets/sheet10.xml><?xml version="1.0" encoding="utf-8"?>
<worksheet xmlns="http://schemas.openxmlformats.org/spreadsheetml/2006/main" xmlns:r="http://schemas.openxmlformats.org/officeDocument/2006/relationships">
  <sheetPr>
    <tabColor indexed="60"/>
  </sheetPr>
  <dimension ref="A1:V61"/>
  <sheetViews>
    <sheetView zoomScalePageLayoutView="0" workbookViewId="0" topLeftCell="A1">
      <selection activeCell="I20" sqref="I20"/>
    </sheetView>
  </sheetViews>
  <sheetFormatPr defaultColWidth="9.140625" defaultRowHeight="12.75"/>
  <cols>
    <col min="1" max="1" width="2.00390625" style="14" bestFit="1" customWidth="1"/>
    <col min="2" max="2" width="41.57421875" style="14" customWidth="1"/>
    <col min="3" max="3" width="28.57421875" style="14" customWidth="1"/>
    <col min="4" max="4" width="28.421875" style="14" customWidth="1"/>
    <col min="5" max="5" width="25.00390625" style="14" customWidth="1"/>
    <col min="6" max="6" width="11.28125" style="14" customWidth="1"/>
    <col min="7" max="7" width="11.00390625" style="14" customWidth="1"/>
    <col min="8" max="8" width="19.7109375" style="14" customWidth="1"/>
    <col min="9" max="9" width="16.140625" style="14" customWidth="1"/>
    <col min="10" max="10" width="13.00390625" style="14" customWidth="1"/>
    <col min="11" max="20" width="9.140625" style="14" customWidth="1"/>
    <col min="21" max="22" width="0" style="14" hidden="1" customWidth="1"/>
    <col min="23" max="16384" width="9.140625" style="14" customWidth="1"/>
  </cols>
  <sheetData>
    <row r="1" ht="12.75">
      <c r="B1" s="15" t="s">
        <v>346</v>
      </c>
    </row>
    <row r="2" spans="1:2" ht="12.75">
      <c r="A2" s="14">
        <v>1</v>
      </c>
      <c r="B2" s="16" t="s">
        <v>700</v>
      </c>
    </row>
    <row r="3" spans="1:4" ht="12.75">
      <c r="A3" s="14">
        <v>2</v>
      </c>
      <c r="B3" s="375" t="s">
        <v>347</v>
      </c>
      <c r="C3" s="402"/>
      <c r="D3" s="402"/>
    </row>
    <row r="4" spans="1:4" ht="12.75">
      <c r="A4" s="14">
        <v>3</v>
      </c>
      <c r="B4" s="377" t="s">
        <v>713</v>
      </c>
      <c r="C4" s="377"/>
      <c r="D4" s="402"/>
    </row>
    <row r="6" spans="2:8" ht="13.5">
      <c r="B6" s="407"/>
      <c r="C6" s="408" t="s">
        <v>207</v>
      </c>
      <c r="D6" s="408" t="s">
        <v>206</v>
      </c>
      <c r="E6" s="408" t="s">
        <v>964</v>
      </c>
      <c r="F6" s="409" t="s">
        <v>228</v>
      </c>
      <c r="G6" s="409" t="s">
        <v>229</v>
      </c>
      <c r="H6" s="408" t="s">
        <v>237</v>
      </c>
    </row>
    <row r="7" spans="2:22" ht="15">
      <c r="B7" s="410" t="s">
        <v>280</v>
      </c>
      <c r="C7" s="411">
        <v>423</v>
      </c>
      <c r="D7" s="412">
        <f>C7/0.8</f>
        <v>528.75</v>
      </c>
      <c r="E7" s="384"/>
      <c r="F7" s="409" t="s">
        <v>230</v>
      </c>
      <c r="G7" s="409" t="s">
        <v>230</v>
      </c>
      <c r="H7" s="382"/>
      <c r="J7" s="402"/>
      <c r="U7" s="14" t="s">
        <v>326</v>
      </c>
      <c r="V7" s="14" t="s">
        <v>162</v>
      </c>
    </row>
    <row r="8" spans="2:22" ht="15">
      <c r="B8" s="413" t="s">
        <v>281</v>
      </c>
      <c r="C8" s="414">
        <f>C7*'DHW Demand'!$G$17</f>
        <v>0</v>
      </c>
      <c r="D8" s="415">
        <f>D7*'DHW Demand'!$G$17</f>
        <v>0</v>
      </c>
      <c r="E8" s="382"/>
      <c r="F8" s="416"/>
      <c r="G8" s="416"/>
      <c r="H8" s="382"/>
      <c r="U8" s="14" t="s">
        <v>333</v>
      </c>
      <c r="V8" s="14" t="s">
        <v>163</v>
      </c>
    </row>
    <row r="9" spans="2:12" s="402" customFormat="1" ht="15.75" thickBot="1">
      <c r="B9" s="417" t="s">
        <v>282</v>
      </c>
      <c r="C9" s="418" t="e">
        <f>C8*1000/('Basic Info'!$C$15)/365/$D$58</f>
        <v>#DIV/0!</v>
      </c>
      <c r="D9" s="418" t="e">
        <f>D8*1000/('Basic Info'!$C$15)/365/$D$58</f>
        <v>#DIV/0!</v>
      </c>
      <c r="E9" s="823"/>
      <c r="F9" s="420">
        <v>1</v>
      </c>
      <c r="G9" s="420">
        <v>0</v>
      </c>
      <c r="H9" s="397" t="s">
        <v>164</v>
      </c>
      <c r="K9" s="421" t="s">
        <v>143</v>
      </c>
      <c r="L9" s="422"/>
    </row>
    <row r="10" spans="2:12" ht="18.75" customHeight="1" thickBot="1">
      <c r="B10" s="413" t="s">
        <v>283</v>
      </c>
      <c r="C10" s="423">
        <f>IF(I10="Electric",604,IF(I10="Gas","Enter as Internal Energy Source",0))</f>
        <v>0</v>
      </c>
      <c r="D10" s="423">
        <f>IF(I10="Electric",604,IF(I10="Gas","Enter as Internal Energy Source",0))</f>
        <v>0</v>
      </c>
      <c r="E10" s="419"/>
      <c r="F10" s="424"/>
      <c r="G10" s="424"/>
      <c r="H10" s="382"/>
      <c r="I10" s="824"/>
      <c r="J10" s="425" t="s">
        <v>499</v>
      </c>
      <c r="K10" s="426">
        <f>IF(I10="Gas",45,0)</f>
        <v>0</v>
      </c>
      <c r="L10" s="427" t="s">
        <v>325</v>
      </c>
    </row>
    <row r="11" spans="2:12" ht="15">
      <c r="B11" s="428" t="s">
        <v>165</v>
      </c>
      <c r="C11" s="429">
        <f>IF(I10="Electric",C10*'DHW Demand'!$G$17,IF(I10="Gas","2126 BTUH per Apt",0))</f>
        <v>0</v>
      </c>
      <c r="D11" s="429">
        <f>IF(I10="Electric",D10*'DHW Demand'!$G$17,IF(I10="Gas","2126 BTUH per Apt",0))</f>
        <v>0</v>
      </c>
      <c r="E11" s="419"/>
      <c r="F11" s="424"/>
      <c r="G11" s="424"/>
      <c r="H11" s="382"/>
      <c r="K11" s="430"/>
      <c r="L11" s="430"/>
    </row>
    <row r="12" spans="2:12" s="402" customFormat="1" ht="15.75" thickBot="1">
      <c r="B12" s="417" t="s">
        <v>284</v>
      </c>
      <c r="C12" s="418" t="e">
        <f>IF(I10="Gas",0,C11*1000/('Basic Info'!$C$15)/365/$D$58)</f>
        <v>#DIV/0!</v>
      </c>
      <c r="D12" s="418" t="e">
        <f>IF(I10="Gas",0,D11*1000/('Basic Info'!$C$15)/365/$D$58)</f>
        <v>#DIV/0!</v>
      </c>
      <c r="E12" s="823"/>
      <c r="F12" s="420">
        <f>IF(I10="Electric",0.4,IF(I10="Gas",0.3,0))</f>
        <v>0</v>
      </c>
      <c r="G12" s="420">
        <f>IF(I10="Electric",0.3,IF(I10="Gas",0.2,0))</f>
        <v>0</v>
      </c>
      <c r="H12" s="397" t="s">
        <v>164</v>
      </c>
      <c r="K12" s="431"/>
      <c r="L12" s="431"/>
    </row>
    <row r="13" spans="2:12" s="402" customFormat="1" ht="15.75" thickBot="1">
      <c r="B13" s="413" t="s">
        <v>166</v>
      </c>
      <c r="C13" s="412">
        <f>IF(I13&gt;0,164,0)</f>
        <v>0</v>
      </c>
      <c r="D13" s="412">
        <f>IF(I13&gt;0,206,0)</f>
        <v>0</v>
      </c>
      <c r="E13" s="419"/>
      <c r="F13" s="424"/>
      <c r="G13" s="424"/>
      <c r="H13" s="416"/>
      <c r="I13" s="432">
        <f>'DHW Demand'!G21</f>
        <v>0</v>
      </c>
      <c r="J13" s="402" t="s">
        <v>128</v>
      </c>
      <c r="K13" s="431"/>
      <c r="L13" s="431"/>
    </row>
    <row r="14" spans="2:12" s="402" customFormat="1" ht="15">
      <c r="B14" s="413" t="s">
        <v>167</v>
      </c>
      <c r="C14" s="423">
        <f>C13*I13</f>
        <v>0</v>
      </c>
      <c r="D14" s="433">
        <f>D13*I13</f>
        <v>0</v>
      </c>
      <c r="E14" s="419"/>
      <c r="F14" s="424"/>
      <c r="G14" s="424"/>
      <c r="H14" s="416"/>
      <c r="K14" s="431"/>
      <c r="L14" s="431"/>
    </row>
    <row r="15" spans="2:12" s="402" customFormat="1" ht="15">
      <c r="B15" s="417" t="s">
        <v>168</v>
      </c>
      <c r="C15" s="418" t="e">
        <f>C14*1000/('Basic Info'!$C$15)/365/$D$58</f>
        <v>#DIV/0!</v>
      </c>
      <c r="D15" s="418" t="e">
        <f>D14*1000/('Basic Info'!$C$15)/365/$D$58</f>
        <v>#DIV/0!</v>
      </c>
      <c r="E15" s="823"/>
      <c r="F15" s="434">
        <v>0.6</v>
      </c>
      <c r="G15" s="434">
        <v>0.15</v>
      </c>
      <c r="H15" s="397" t="s">
        <v>164</v>
      </c>
      <c r="K15" s="431"/>
      <c r="L15" s="431"/>
    </row>
    <row r="16" spans="2:12" s="402" customFormat="1" ht="15.75" thickBot="1">
      <c r="B16" s="413" t="s">
        <v>169</v>
      </c>
      <c r="C16" s="412">
        <f>IF('DHW Demand'!$G$25="In-Unit",57,0)</f>
        <v>0</v>
      </c>
      <c r="D16" s="412">
        <f>IF('DHW Demand'!$G$25="In-Unit",81,0)</f>
        <v>0</v>
      </c>
      <c r="E16" s="419"/>
      <c r="F16" s="424"/>
      <c r="G16" s="424"/>
      <c r="H16" s="416"/>
      <c r="K16" s="431"/>
      <c r="L16" s="431"/>
    </row>
    <row r="17" spans="2:12" s="402" customFormat="1" ht="15.75" thickBot="1">
      <c r="B17" s="413" t="s">
        <v>130</v>
      </c>
      <c r="C17" s="412">
        <f>C16*I18</f>
        <v>0</v>
      </c>
      <c r="D17" s="412">
        <f>D16*I18</f>
        <v>0</v>
      </c>
      <c r="E17" s="419"/>
      <c r="F17" s="424"/>
      <c r="G17" s="424"/>
      <c r="H17" s="435"/>
      <c r="I17" s="404">
        <f>IF('DHW Demand'!G25="Common",2.423,1)</f>
        <v>1</v>
      </c>
      <c r="J17" s="402" t="s">
        <v>139</v>
      </c>
      <c r="K17" s="431"/>
      <c r="L17" s="431"/>
    </row>
    <row r="18" spans="2:12" s="402" customFormat="1" ht="15.75" thickBot="1">
      <c r="B18" s="417" t="s">
        <v>141</v>
      </c>
      <c r="C18" s="418" t="e">
        <f>(C17)*1000/('Basic Info'!$C$15)/365/$D$58</f>
        <v>#DIV/0!</v>
      </c>
      <c r="D18" s="418" t="e">
        <f>(D17)*1000/('Basic Info'!$C$15)/365/$D$58</f>
        <v>#DIV/0!</v>
      </c>
      <c r="E18" s="823"/>
      <c r="F18" s="420">
        <f>IF('DHW Demand'!$G$25="Common","NA",0.8)</f>
        <v>0.8</v>
      </c>
      <c r="G18" s="420">
        <f>IF('DHW Demand'!$G$25="Common","NA",0)</f>
        <v>0</v>
      </c>
      <c r="H18" s="397" t="s">
        <v>164</v>
      </c>
      <c r="I18" s="432">
        <f>'DHW Demand'!G22</f>
        <v>0</v>
      </c>
      <c r="J18" s="402" t="s">
        <v>127</v>
      </c>
      <c r="K18" s="431"/>
      <c r="L18" s="431"/>
    </row>
    <row r="19" spans="2:14" s="402" customFormat="1" ht="16.5" customHeight="1" thickBot="1">
      <c r="B19" s="413" t="s">
        <v>132</v>
      </c>
      <c r="C19" s="412" t="e">
        <f>IF('DHW Demand'!$G$25="Common",0,IF($I$20="Electric",$I$19*(418+139*$I$21)*$I$17,$I$19*(38+12.7*$I$21)*$I$17))</f>
        <v>#DIV/0!</v>
      </c>
      <c r="D19" s="412" t="e">
        <f>IF('DHW Demand'!$G$25="Common",0,IF($I$20="Electric",$I$19*(418+139*$I$21)*$I$17,$I$19*(38+12.7*$I$21)*$I$17))</f>
        <v>#DIV/0!</v>
      </c>
      <c r="E19" s="419"/>
      <c r="F19" s="424"/>
      <c r="G19" s="424"/>
      <c r="H19" s="416"/>
      <c r="I19" s="824"/>
      <c r="J19" s="402" t="s">
        <v>131</v>
      </c>
      <c r="K19" s="421" t="s">
        <v>140</v>
      </c>
      <c r="L19" s="431"/>
      <c r="M19" s="693"/>
      <c r="N19" s="693"/>
    </row>
    <row r="20" spans="2:14" s="402" customFormat="1" ht="15.75" thickBot="1">
      <c r="B20" s="417" t="s">
        <v>142</v>
      </c>
      <c r="C20" s="418" t="e">
        <f>(C19)*1000/('Basic Info'!$C$15)/365/$D$58</f>
        <v>#DIV/0!</v>
      </c>
      <c r="D20" s="418" t="e">
        <f>(D19)*1000/('Basic Info'!$C$15)/365/$D$58</f>
        <v>#DIV/0!</v>
      </c>
      <c r="E20" s="823"/>
      <c r="F20" s="434">
        <f>IF('DHW Demand'!$G$25="Common","NA",IF($I$20="Gas",1,0.15))</f>
        <v>0.15</v>
      </c>
      <c r="G20" s="434">
        <f>IF('DHW Demand'!$G$25="Common","NA",IF($I$20="Gas",0,0.05))</f>
        <v>0.05</v>
      </c>
      <c r="H20" s="397" t="s">
        <v>164</v>
      </c>
      <c r="I20" s="824"/>
      <c r="J20" s="399" t="s">
        <v>172</v>
      </c>
      <c r="K20" s="426">
        <f>IF(I20="Gas",(26.5+8.8*I21)*I17,0)</f>
        <v>0</v>
      </c>
      <c r="L20" s="436" t="s">
        <v>325</v>
      </c>
      <c r="M20" s="693"/>
      <c r="N20" s="693"/>
    </row>
    <row r="21" spans="2:12" s="402" customFormat="1" ht="15.75" thickBot="1">
      <c r="B21" s="413" t="s">
        <v>171</v>
      </c>
      <c r="C21" s="412">
        <f>IF('DHW Demand'!$G$25="Common",138,0)</f>
        <v>0</v>
      </c>
      <c r="D21" s="412">
        <f>IF('DHW Demand'!$G$25="Common",196,0)</f>
        <v>0</v>
      </c>
      <c r="E21" s="416"/>
      <c r="F21" s="424"/>
      <c r="G21" s="424"/>
      <c r="H21" s="416"/>
      <c r="I21" s="437" t="e">
        <f>('Basic Info'!C7*1+'Basic Info'!C8*1+'Basic Info'!C9*2+'Basic Info'!C10*3+'Basic Info'!C11*4)/SUM('Basic Info'!C7:C11)</f>
        <v>#DIV/0!</v>
      </c>
      <c r="J21" s="402" t="s">
        <v>136</v>
      </c>
      <c r="K21" s="438"/>
      <c r="L21" s="438"/>
    </row>
    <row r="22" spans="2:12" s="402" customFormat="1" ht="15.75" thickBot="1">
      <c r="B22" s="413" t="s">
        <v>129</v>
      </c>
      <c r="C22" s="412">
        <f>C21*I18</f>
        <v>0</v>
      </c>
      <c r="D22" s="412">
        <f>D21*I18</f>
        <v>0</v>
      </c>
      <c r="E22" s="416"/>
      <c r="F22" s="424"/>
      <c r="G22" s="424"/>
      <c r="H22" s="416"/>
      <c r="I22" s="824"/>
      <c r="J22" s="399" t="s">
        <v>213</v>
      </c>
      <c r="L22" s="438"/>
    </row>
    <row r="23" spans="2:12" s="402" customFormat="1" ht="15">
      <c r="B23" s="417" t="s">
        <v>137</v>
      </c>
      <c r="C23" s="439" t="e">
        <f>(C22)*1000/I22/365/$C$58</f>
        <v>#DIV/0!</v>
      </c>
      <c r="D23" s="439" t="e">
        <f>(D22)*1000/I22/365/$C$58</f>
        <v>#DIV/0!</v>
      </c>
      <c r="E23" s="397" t="str">
        <f>IF('DHW Demand'!G25="Common","Laundry Equipment 1","NA")</f>
        <v>NA</v>
      </c>
      <c r="F23" s="420" t="str">
        <f>IF('DHW Demand'!$G$25="Common",0.8,"NA")</f>
        <v>NA</v>
      </c>
      <c r="G23" s="420" t="str">
        <f>IF('DHW Demand'!$G$25="Common",0,"NA")</f>
        <v>NA</v>
      </c>
      <c r="H23" s="397" t="s">
        <v>173</v>
      </c>
      <c r="I23" s="14"/>
      <c r="J23" s="399"/>
      <c r="K23" s="438"/>
      <c r="L23" s="438"/>
    </row>
    <row r="24" spans="2:8" s="402" customFormat="1" ht="15">
      <c r="B24" s="413" t="s">
        <v>133</v>
      </c>
      <c r="C24" s="412" t="e">
        <f>IF('DHW Demand'!$G$25="In-Unit",0,IF($I$20="Electric",$I$19*(418+139*$I$21)*I17,$I$19*(38+12.7*$I$21)*I17))</f>
        <v>#DIV/0!</v>
      </c>
      <c r="D24" s="412" t="e">
        <f>IF('DHW Demand'!$G$25="In-Unit",0,IF($I$20="Electric",$I$19*(418+139*$I$21)*I17,$I$19*(38+12.7*$I$21)*I17))</f>
        <v>#DIV/0!</v>
      </c>
      <c r="E24" s="416"/>
      <c r="F24" s="424"/>
      <c r="G24" s="424"/>
      <c r="H24" s="416"/>
    </row>
    <row r="25" spans="2:8" s="402" customFormat="1" ht="15">
      <c r="B25" s="417" t="s">
        <v>138</v>
      </c>
      <c r="C25" s="439" t="e">
        <f>(C24)*1000/I22/365/$C$58</f>
        <v>#DIV/0!</v>
      </c>
      <c r="D25" s="439" t="e">
        <f>(D24)*1000/I22/365/$C$58</f>
        <v>#DIV/0!</v>
      </c>
      <c r="E25" s="397" t="str">
        <f>IF('DHW Demand'!G25="Common","Laundry Equipment 2","NA")</f>
        <v>NA</v>
      </c>
      <c r="F25" s="434">
        <f>IF('DHW Demand'!$G$25="In-Unit","NA",IF($I$20="Gas",1,0.15))</f>
        <v>0.15</v>
      </c>
      <c r="G25" s="434">
        <f>IF('DHW Demand'!$G$25="In-Unit","NA",IF($I$20="Gas",0,0.05))</f>
        <v>0.05</v>
      </c>
      <c r="H25" s="397" t="s">
        <v>173</v>
      </c>
    </row>
    <row r="26" spans="2:10" ht="15">
      <c r="B26" s="440" t="str">
        <f>IF('DHW Demand'!G25="Common","Common Dryer, BTU/h (total for all dryers)","In-Unit Dryer, BTU/h               (PER dryer)")</f>
        <v>In-Unit Dryer, BTU/h               (PER dryer)</v>
      </c>
      <c r="C26" s="441">
        <f>IF('DHW Demand'!$G$25="Common",$K$20*$I$19*100000/365/C58,$K$20*100000/365/Appliances!$D$58)</f>
        <v>0</v>
      </c>
      <c r="D26" s="441">
        <f>IF('DHW Demand'!$G$25="Common",$K$20*$I$19*100000/365/C58,$K$20*100000/365/Appliances!$D$58)</f>
        <v>0</v>
      </c>
      <c r="E26" s="397" t="str">
        <f>IF(I20="Gas","Internal Energy Source","NA")</f>
        <v>NA</v>
      </c>
      <c r="F26" s="434" t="str">
        <f>IF($I$20="Gas",0.1,"NA")</f>
        <v>NA</v>
      </c>
      <c r="G26" s="434" t="str">
        <f>IF($I$20="Gas",0.05,"NA")</f>
        <v>NA</v>
      </c>
      <c r="H26" s="397" t="str">
        <f>IF('DHW Demand'!G25="Common","T24 EQP WD","T24 DAY EQP WD")</f>
        <v>T24 DAY EQP WD</v>
      </c>
      <c r="I26" s="442"/>
      <c r="J26" s="402"/>
    </row>
    <row r="27" spans="2:8" s="402" customFormat="1" ht="15.75" thickBot="1">
      <c r="B27" s="443" t="s">
        <v>285</v>
      </c>
      <c r="C27" s="444">
        <v>1.05</v>
      </c>
      <c r="D27" s="444">
        <v>1.05</v>
      </c>
      <c r="E27" s="382"/>
      <c r="F27" s="424"/>
      <c r="G27" s="424"/>
      <c r="H27" s="382"/>
    </row>
    <row r="28" spans="2:10" s="402" customFormat="1" ht="15.75" thickBot="1">
      <c r="B28" s="417" t="s">
        <v>286</v>
      </c>
      <c r="C28" s="445">
        <f>C27*1000/365/$D$58</f>
        <v>0.4959848842701938</v>
      </c>
      <c r="D28" s="445">
        <f>D27*1000/365/$D$58</f>
        <v>0.4959848842701938</v>
      </c>
      <c r="E28" s="397" t="s">
        <v>174</v>
      </c>
      <c r="F28" s="420">
        <v>0.9</v>
      </c>
      <c r="G28" s="420">
        <v>0.1</v>
      </c>
      <c r="H28" s="397" t="s">
        <v>164</v>
      </c>
      <c r="I28" s="446" t="s">
        <v>516</v>
      </c>
      <c r="J28" s="404">
        <f>'Reporting Summary'!D20</f>
        <v>0</v>
      </c>
    </row>
    <row r="29" spans="2:10" ht="15.75" thickBot="1">
      <c r="B29" s="417" t="s">
        <v>608</v>
      </c>
      <c r="C29" s="447">
        <v>0.2</v>
      </c>
      <c r="D29" s="447">
        <v>0.2</v>
      </c>
      <c r="E29" s="397" t="s">
        <v>175</v>
      </c>
      <c r="F29" s="420">
        <v>1</v>
      </c>
      <c r="G29" s="420">
        <v>0</v>
      </c>
      <c r="H29" s="397" t="s">
        <v>173</v>
      </c>
      <c r="I29" s="448" t="s">
        <v>503</v>
      </c>
      <c r="J29" s="795"/>
    </row>
    <row r="30" spans="2:10" ht="15.75" thickBot="1">
      <c r="B30" s="417" t="s">
        <v>176</v>
      </c>
      <c r="C30" s="439" t="e">
        <f>I32*1000/J29/365/$C$58</f>
        <v>#DIV/0!</v>
      </c>
      <c r="D30" s="439" t="e">
        <f>I31*1000/J29/365/$C$58</f>
        <v>#VALUE!</v>
      </c>
      <c r="E30" s="397" t="s">
        <v>177</v>
      </c>
      <c r="F30" s="420">
        <v>0.1</v>
      </c>
      <c r="G30" s="420">
        <v>0</v>
      </c>
      <c r="H30" s="397" t="s">
        <v>173</v>
      </c>
      <c r="I30" s="448" t="s">
        <v>502</v>
      </c>
      <c r="J30" s="14">
        <f>IF(J28=0,"",IF(J28&lt;7,"Hydraulic",IF(J28&lt;21,"Geared Traction","Gearless Traction")))</f>
      </c>
    </row>
    <row r="31" spans="2:10" ht="15.75" thickBot="1">
      <c r="B31" s="417" t="s">
        <v>178</v>
      </c>
      <c r="C31" s="449">
        <v>1.5</v>
      </c>
      <c r="D31" s="449">
        <v>1.5</v>
      </c>
      <c r="E31" s="397" t="s">
        <v>179</v>
      </c>
      <c r="F31" s="420">
        <v>1</v>
      </c>
      <c r="G31" s="420">
        <v>0</v>
      </c>
      <c r="H31" s="397" t="s">
        <v>173</v>
      </c>
      <c r="I31" s="404" t="str">
        <f>IF(J30="Hydraulic",IF('Reporting Summary'!I31&lt;7,1910,IF('Reporting Summary'!I31&lt;21,2150,IF('Reporting Summary'!I31&lt;51,2940,4120))),"SG, Section 3.11")</f>
        <v>SG, Section 3.11</v>
      </c>
      <c r="J31" s="16" t="s">
        <v>500</v>
      </c>
    </row>
    <row r="32" spans="2:10" ht="15.75" thickBot="1">
      <c r="B32" s="417" t="s">
        <v>609</v>
      </c>
      <c r="C32" s="449">
        <v>0.5</v>
      </c>
      <c r="D32" s="449">
        <v>0.5</v>
      </c>
      <c r="E32" s="450" t="s">
        <v>607</v>
      </c>
      <c r="F32" s="402"/>
      <c r="G32" s="402"/>
      <c r="I32" s="795"/>
      <c r="J32" s="16" t="s">
        <v>501</v>
      </c>
    </row>
    <row r="33" spans="2:10" ht="42.75">
      <c r="B33" s="451" t="s">
        <v>235</v>
      </c>
      <c r="C33" s="452" t="s">
        <v>180</v>
      </c>
      <c r="D33" s="452" t="s">
        <v>181</v>
      </c>
      <c r="F33" s="402"/>
      <c r="G33" s="402"/>
      <c r="I33" s="694"/>
      <c r="J33" s="695"/>
    </row>
    <row r="34" spans="2:4" ht="12.75">
      <c r="B34" s="382">
        <v>1</v>
      </c>
      <c r="C34" s="397">
        <v>0.1</v>
      </c>
      <c r="D34" s="397">
        <v>0.05</v>
      </c>
    </row>
    <row r="35" spans="2:4" ht="12.75">
      <c r="B35" s="382">
        <v>2</v>
      </c>
      <c r="C35" s="397">
        <v>0.1</v>
      </c>
      <c r="D35" s="397">
        <v>0.05</v>
      </c>
    </row>
    <row r="36" spans="2:4" ht="12.75">
      <c r="B36" s="382">
        <v>3</v>
      </c>
      <c r="C36" s="397">
        <v>0.1</v>
      </c>
      <c r="D36" s="397">
        <v>0.05</v>
      </c>
    </row>
    <row r="37" spans="2:4" ht="12.75">
      <c r="B37" s="382">
        <v>4</v>
      </c>
      <c r="C37" s="397">
        <v>0.1</v>
      </c>
      <c r="D37" s="397">
        <v>0.05</v>
      </c>
    </row>
    <row r="38" spans="2:4" ht="12.75">
      <c r="B38" s="382">
        <v>5</v>
      </c>
      <c r="C38" s="397">
        <v>0.1</v>
      </c>
      <c r="D38" s="397">
        <v>0.05</v>
      </c>
    </row>
    <row r="39" spans="2:4" ht="12.75">
      <c r="B39" s="382">
        <v>6</v>
      </c>
      <c r="C39" s="397">
        <v>0.3</v>
      </c>
      <c r="D39" s="397">
        <v>0.05</v>
      </c>
    </row>
    <row r="40" spans="2:4" ht="12.75">
      <c r="B40" s="382">
        <v>7</v>
      </c>
      <c r="C40" s="397">
        <v>0.45</v>
      </c>
      <c r="D40" s="397">
        <v>0.05</v>
      </c>
    </row>
    <row r="41" spans="2:4" ht="12.75">
      <c r="B41" s="382">
        <v>8</v>
      </c>
      <c r="C41" s="397">
        <v>0.45</v>
      </c>
      <c r="D41" s="397">
        <v>0.05</v>
      </c>
    </row>
    <row r="42" spans="2:4" ht="12.75">
      <c r="B42" s="382">
        <v>9</v>
      </c>
      <c r="C42" s="397">
        <v>0.45</v>
      </c>
      <c r="D42" s="397">
        <v>0.5</v>
      </c>
    </row>
    <row r="43" spans="2:4" ht="12.75">
      <c r="B43" s="382">
        <v>10</v>
      </c>
      <c r="C43" s="397">
        <v>0.45</v>
      </c>
      <c r="D43" s="397">
        <v>0.5</v>
      </c>
    </row>
    <row r="44" spans="2:4" ht="12.75">
      <c r="B44" s="382">
        <v>11</v>
      </c>
      <c r="C44" s="397">
        <v>0.3</v>
      </c>
      <c r="D44" s="397">
        <v>0.5</v>
      </c>
    </row>
    <row r="45" spans="2:4" ht="12.75">
      <c r="B45" s="382">
        <v>12</v>
      </c>
      <c r="C45" s="397">
        <v>0.3</v>
      </c>
      <c r="D45" s="397">
        <v>0.5</v>
      </c>
    </row>
    <row r="46" spans="2:4" ht="12.75">
      <c r="B46" s="382">
        <v>13</v>
      </c>
      <c r="C46" s="397">
        <v>0.3</v>
      </c>
      <c r="D46" s="397">
        <v>0.3</v>
      </c>
    </row>
    <row r="47" spans="2:4" ht="12.75">
      <c r="B47" s="382">
        <v>14</v>
      </c>
      <c r="C47" s="397">
        <v>0.3</v>
      </c>
      <c r="D47" s="397">
        <v>0.5</v>
      </c>
    </row>
    <row r="48" spans="2:4" ht="12.75">
      <c r="B48" s="382">
        <v>15</v>
      </c>
      <c r="C48" s="397">
        <v>0.3</v>
      </c>
      <c r="D48" s="397">
        <v>0.5</v>
      </c>
    </row>
    <row r="49" spans="2:4" ht="12.75">
      <c r="B49" s="382">
        <v>16</v>
      </c>
      <c r="C49" s="397">
        <v>0.3</v>
      </c>
      <c r="D49" s="397">
        <v>0.5</v>
      </c>
    </row>
    <row r="50" spans="2:4" ht="12.75">
      <c r="B50" s="382">
        <v>17</v>
      </c>
      <c r="C50" s="397">
        <v>0.3</v>
      </c>
      <c r="D50" s="397">
        <v>0.5</v>
      </c>
    </row>
    <row r="51" spans="2:4" ht="12.75">
      <c r="B51" s="382">
        <v>18</v>
      </c>
      <c r="C51" s="397">
        <v>0.3</v>
      </c>
      <c r="D51" s="397">
        <v>0.5</v>
      </c>
    </row>
    <row r="52" spans="2:4" ht="12.75">
      <c r="B52" s="382">
        <v>19</v>
      </c>
      <c r="C52" s="397">
        <v>0.6</v>
      </c>
      <c r="D52" s="397">
        <v>0.35</v>
      </c>
    </row>
    <row r="53" spans="2:4" ht="12.75">
      <c r="B53" s="382">
        <v>20</v>
      </c>
      <c r="C53" s="397">
        <v>0.8</v>
      </c>
      <c r="D53" s="397">
        <v>0.05</v>
      </c>
    </row>
    <row r="54" spans="2:4" ht="12.75">
      <c r="B54" s="382">
        <v>21</v>
      </c>
      <c r="C54" s="397">
        <v>0.9</v>
      </c>
      <c r="D54" s="397">
        <v>0.05</v>
      </c>
    </row>
    <row r="55" spans="2:4" ht="12.75">
      <c r="B55" s="382">
        <v>22</v>
      </c>
      <c r="C55" s="397">
        <v>0.8</v>
      </c>
      <c r="D55" s="397">
        <v>0.05</v>
      </c>
    </row>
    <row r="56" spans="2:4" ht="12.75">
      <c r="B56" s="382">
        <v>23</v>
      </c>
      <c r="C56" s="397">
        <v>0.6</v>
      </c>
      <c r="D56" s="397">
        <v>0.05</v>
      </c>
    </row>
    <row r="57" spans="2:4" ht="12.75">
      <c r="B57" s="382">
        <v>24</v>
      </c>
      <c r="C57" s="397">
        <v>0.3</v>
      </c>
      <c r="D57" s="397">
        <v>0.05</v>
      </c>
    </row>
    <row r="58" spans="2:4" ht="12.75">
      <c r="B58" s="382" t="s">
        <v>292</v>
      </c>
      <c r="C58" s="382">
        <f>SUM(C34:C57)</f>
        <v>9</v>
      </c>
      <c r="D58" s="382">
        <f>SUM(D34:D57)</f>
        <v>5.799999999999998</v>
      </c>
    </row>
    <row r="60" ht="12.75">
      <c r="B60" s="495"/>
    </row>
    <row r="61" ht="12.75">
      <c r="B61" s="495"/>
    </row>
  </sheetData>
  <sheetProtection sheet="1" formatCells="0" insertColumns="0" insertRows="0"/>
  <dataValidations count="1">
    <dataValidation type="list" allowBlank="1" showInputMessage="1" showErrorMessage="1" sqref="I20 I10">
      <formula1>$U$7:$U$8</formula1>
    </dataValidation>
  </dataValidations>
  <printOptions/>
  <pageMargins left="0.7" right="0.7" top="0.75" bottom="0.7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indexed="44"/>
  </sheetPr>
  <dimension ref="A1:J32"/>
  <sheetViews>
    <sheetView showGridLines="0" zoomScalePageLayoutView="0" workbookViewId="0" topLeftCell="A1">
      <selection activeCell="C16" sqref="C16"/>
    </sheetView>
  </sheetViews>
  <sheetFormatPr defaultColWidth="9.140625" defaultRowHeight="12.75"/>
  <cols>
    <col min="1" max="1" width="33.57421875" style="1" customWidth="1"/>
    <col min="2" max="5" width="20.7109375" style="1" customWidth="1"/>
    <col min="6" max="6" width="34.421875" style="1" customWidth="1"/>
    <col min="7" max="16384" width="9.140625" style="1" customWidth="1"/>
  </cols>
  <sheetData>
    <row r="1" spans="1:2" ht="15" thickBot="1">
      <c r="A1" s="1325" t="s">
        <v>149</v>
      </c>
      <c r="B1" s="1327"/>
    </row>
    <row r="2" spans="1:2" ht="14.25">
      <c r="A2" s="2" t="s">
        <v>150</v>
      </c>
      <c r="B2" s="3" t="s">
        <v>151</v>
      </c>
    </row>
    <row r="3" spans="1:2" ht="14.25">
      <c r="A3" s="4" t="s">
        <v>152</v>
      </c>
      <c r="B3" s="5">
        <v>1.6</v>
      </c>
    </row>
    <row r="4" spans="1:2" ht="14.25">
      <c r="A4" s="4" t="s">
        <v>153</v>
      </c>
      <c r="B4" s="5">
        <v>1</v>
      </c>
    </row>
    <row r="5" spans="1:2" ht="14.25">
      <c r="A5" s="4" t="s">
        <v>154</v>
      </c>
      <c r="B5" s="5">
        <v>2.5</v>
      </c>
    </row>
    <row r="6" spans="1:2" ht="14.25">
      <c r="A6" s="4" t="s">
        <v>155</v>
      </c>
      <c r="B6" s="5">
        <v>2.5</v>
      </c>
    </row>
    <row r="7" spans="1:2" ht="15" thickBot="1">
      <c r="A7" s="6" t="s">
        <v>156</v>
      </c>
      <c r="B7" s="7">
        <v>2.5</v>
      </c>
    </row>
    <row r="9" ht="15" thickBot="1"/>
    <row r="10" spans="1:5" ht="15" thickBot="1">
      <c r="A10" s="1325" t="s">
        <v>157</v>
      </c>
      <c r="B10" s="1326"/>
      <c r="C10" s="1326"/>
      <c r="D10" s="1326"/>
      <c r="E10" s="1327"/>
    </row>
    <row r="11" spans="1:5" ht="14.25">
      <c r="A11" s="1331" t="s">
        <v>158</v>
      </c>
      <c r="B11" s="1328" t="s">
        <v>159</v>
      </c>
      <c r="C11" s="1329"/>
      <c r="D11" s="1330"/>
      <c r="E11" s="1333" t="s">
        <v>160</v>
      </c>
    </row>
    <row r="12" spans="1:5" ht="15" thickBot="1">
      <c r="A12" s="1332"/>
      <c r="B12" s="623" t="s">
        <v>492</v>
      </c>
      <c r="C12" s="625" t="s">
        <v>493</v>
      </c>
      <c r="D12" s="624" t="s">
        <v>494</v>
      </c>
      <c r="E12" s="1334"/>
    </row>
    <row r="13" spans="1:5" ht="14.25">
      <c r="A13" s="621" t="s">
        <v>265</v>
      </c>
      <c r="B13" s="622" t="s">
        <v>161</v>
      </c>
      <c r="C13" s="622" t="s">
        <v>161</v>
      </c>
      <c r="D13" s="622" t="s">
        <v>161</v>
      </c>
      <c r="E13" s="628">
        <v>5</v>
      </c>
    </row>
    <row r="14" spans="1:5" ht="15" thickBot="1">
      <c r="A14" s="634" t="s">
        <v>266</v>
      </c>
      <c r="B14" s="635" t="s">
        <v>161</v>
      </c>
      <c r="C14" s="635" t="s">
        <v>161</v>
      </c>
      <c r="D14" s="635" t="s">
        <v>161</v>
      </c>
      <c r="E14" s="636">
        <v>5</v>
      </c>
    </row>
    <row r="15" spans="1:7" ht="15" thickBot="1" thickTop="1">
      <c r="A15" s="631" t="s">
        <v>908</v>
      </c>
      <c r="B15" s="632">
        <v>12</v>
      </c>
      <c r="C15" s="632">
        <v>25</v>
      </c>
      <c r="D15" s="632">
        <v>44</v>
      </c>
      <c r="E15" s="633" t="s">
        <v>161</v>
      </c>
      <c r="G15" s="630"/>
    </row>
    <row r="16" spans="1:5" ht="15" thickTop="1">
      <c r="A16" s="621" t="s">
        <v>146</v>
      </c>
      <c r="B16" s="622">
        <v>150</v>
      </c>
      <c r="C16" s="622">
        <v>300</v>
      </c>
      <c r="D16" s="622">
        <v>600</v>
      </c>
      <c r="E16" s="628">
        <v>1</v>
      </c>
    </row>
    <row r="17" spans="1:5" ht="14.25">
      <c r="A17" s="8" t="s">
        <v>147</v>
      </c>
      <c r="B17" s="9">
        <v>8</v>
      </c>
      <c r="C17" s="9">
        <v>15</v>
      </c>
      <c r="D17" s="9">
        <v>30</v>
      </c>
      <c r="E17" s="627">
        <v>5</v>
      </c>
    </row>
    <row r="18" spans="1:5" ht="15" thickBot="1">
      <c r="A18" s="10" t="s">
        <v>148</v>
      </c>
      <c r="B18" s="11">
        <v>30</v>
      </c>
      <c r="C18" s="11">
        <v>60</v>
      </c>
      <c r="D18" s="11">
        <v>80</v>
      </c>
      <c r="E18" s="629">
        <v>4</v>
      </c>
    </row>
    <row r="19" spans="8:10" ht="14.25">
      <c r="H19" s="626"/>
      <c r="I19" s="626"/>
      <c r="J19" s="626"/>
    </row>
    <row r="25" spans="1:6" ht="14.25">
      <c r="A25"/>
      <c r="B25"/>
      <c r="C25"/>
      <c r="D25"/>
      <c r="E25"/>
      <c r="F25"/>
    </row>
    <row r="26" spans="1:6" ht="14.25">
      <c r="A26"/>
      <c r="B26"/>
      <c r="C26"/>
      <c r="D26"/>
      <c r="E26"/>
      <c r="F26"/>
    </row>
    <row r="27" spans="1:6" ht="14.25">
      <c r="A27"/>
      <c r="B27"/>
      <c r="C27"/>
      <c r="D27"/>
      <c r="E27"/>
      <c r="F27"/>
    </row>
    <row r="28" spans="1:6" ht="14.25">
      <c r="A28"/>
      <c r="B28"/>
      <c r="C28"/>
      <c r="D28"/>
      <c r="E28"/>
      <c r="F28"/>
    </row>
    <row r="29" spans="1:6" ht="14.25">
      <c r="A29"/>
      <c r="B29"/>
      <c r="C29"/>
      <c r="D29"/>
      <c r="E29"/>
      <c r="F29"/>
    </row>
    <row r="30" spans="1:6" ht="14.25">
      <c r="A30"/>
      <c r="B30"/>
      <c r="C30"/>
      <c r="D30"/>
      <c r="E30"/>
      <c r="F30"/>
    </row>
    <row r="31" spans="1:6" ht="14.25">
      <c r="A31"/>
      <c r="B31"/>
      <c r="C31"/>
      <c r="D31"/>
      <c r="E31"/>
      <c r="F31"/>
    </row>
    <row r="32" spans="1:6" ht="14.25">
      <c r="A32"/>
      <c r="B32"/>
      <c r="C32"/>
      <c r="D32"/>
      <c r="E32"/>
      <c r="F32"/>
    </row>
  </sheetData>
  <sheetProtection/>
  <mergeCells count="5">
    <mergeCell ref="A10:E10"/>
    <mergeCell ref="B11:D11"/>
    <mergeCell ref="A11:A12"/>
    <mergeCell ref="E11:E12"/>
    <mergeCell ref="A1:B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60"/>
  </sheetPr>
  <dimension ref="A1:G44"/>
  <sheetViews>
    <sheetView zoomScalePageLayoutView="0" workbookViewId="0" topLeftCell="A1">
      <selection activeCell="C14" sqref="C14"/>
    </sheetView>
  </sheetViews>
  <sheetFormatPr defaultColWidth="9.140625" defaultRowHeight="12.75"/>
  <cols>
    <col min="1" max="1" width="2.00390625" style="14" bestFit="1" customWidth="1"/>
    <col min="2" max="2" width="30.421875" style="14" customWidth="1"/>
    <col min="3" max="4" width="16.00390625" style="14" customWidth="1"/>
    <col min="5" max="5" width="10.57421875" style="14" customWidth="1"/>
    <col min="6" max="6" width="24.7109375" style="14" customWidth="1"/>
    <col min="7" max="7" width="10.7109375" style="14" customWidth="1"/>
    <col min="8" max="10" width="9.140625" style="14" customWidth="1"/>
    <col min="11" max="11" width="10.8515625" style="14" customWidth="1"/>
    <col min="12" max="16384" width="9.140625" style="14" customWidth="1"/>
  </cols>
  <sheetData>
    <row r="1" ht="12.75">
      <c r="B1" s="453" t="s">
        <v>346</v>
      </c>
    </row>
    <row r="2" spans="1:2" ht="12.75">
      <c r="A2" s="14">
        <v>1</v>
      </c>
      <c r="B2" s="446" t="s">
        <v>504</v>
      </c>
    </row>
    <row r="3" spans="1:7" ht="12.75">
      <c r="A3" s="454">
        <v>2</v>
      </c>
      <c r="B3" s="375" t="s">
        <v>208</v>
      </c>
      <c r="C3" s="375"/>
      <c r="D3" s="375"/>
      <c r="E3" s="375"/>
      <c r="F3" s="375"/>
      <c r="G3" s="375"/>
    </row>
    <row r="4" spans="1:2" s="402" customFormat="1" ht="12.75">
      <c r="A4" s="455">
        <v>3</v>
      </c>
      <c r="B4" s="402" t="s">
        <v>126</v>
      </c>
    </row>
    <row r="5" spans="1:7" ht="12.75">
      <c r="A5" s="454">
        <v>4</v>
      </c>
      <c r="B5" s="376" t="s">
        <v>505</v>
      </c>
      <c r="C5" s="377"/>
      <c r="D5" s="377"/>
      <c r="E5" s="377"/>
      <c r="F5" s="377"/>
      <c r="G5" s="377"/>
    </row>
    <row r="6" spans="1:2" ht="12.75">
      <c r="A6" s="454">
        <v>5</v>
      </c>
      <c r="B6" s="16" t="s">
        <v>211</v>
      </c>
    </row>
    <row r="7" spans="1:2" ht="12.75">
      <c r="A7" s="454">
        <v>6</v>
      </c>
      <c r="B7" s="551" t="s">
        <v>714</v>
      </c>
    </row>
    <row r="8" spans="1:2" ht="12.75">
      <c r="A8" s="454">
        <v>7</v>
      </c>
      <c r="B8" s="425" t="s">
        <v>506</v>
      </c>
    </row>
    <row r="9" ht="14.25">
      <c r="B9" s="456"/>
    </row>
    <row r="10" spans="2:3" ht="12.75">
      <c r="B10" s="14" t="s">
        <v>274</v>
      </c>
      <c r="C10" s="14" t="s">
        <v>275</v>
      </c>
    </row>
    <row r="11" spans="2:3" ht="12.75">
      <c r="B11" s="14" t="s">
        <v>10</v>
      </c>
      <c r="C11" s="402">
        <v>2.34</v>
      </c>
    </row>
    <row r="12" spans="2:3" ht="12.75">
      <c r="B12" s="14" t="s">
        <v>210</v>
      </c>
      <c r="C12" s="14">
        <v>24</v>
      </c>
    </row>
    <row r="13" spans="2:3" ht="13.5" thickBot="1">
      <c r="B13" s="14" t="s">
        <v>209</v>
      </c>
      <c r="C13" s="457">
        <v>12</v>
      </c>
    </row>
    <row r="14" spans="2:3" ht="13.5" thickBot="1">
      <c r="B14" s="14" t="s">
        <v>233</v>
      </c>
      <c r="C14" s="565">
        <v>10</v>
      </c>
    </row>
    <row r="15" ht="12.75">
      <c r="C15" s="458"/>
    </row>
    <row r="16" spans="3:6" ht="12.75">
      <c r="C16" s="14" t="s">
        <v>276</v>
      </c>
      <c r="D16" s="377" t="s">
        <v>277</v>
      </c>
      <c r="F16" s="377" t="s">
        <v>277</v>
      </c>
    </row>
    <row r="17" spans="2:6" ht="12.75">
      <c r="B17" s="14" t="s">
        <v>278</v>
      </c>
      <c r="C17" s="14" t="s">
        <v>279</v>
      </c>
      <c r="D17" s="377" t="s">
        <v>287</v>
      </c>
      <c r="F17" s="377" t="s">
        <v>233</v>
      </c>
    </row>
    <row r="18" spans="2:6" ht="12.75">
      <c r="B18" s="14">
        <v>1</v>
      </c>
      <c r="C18" s="459">
        <v>0.05</v>
      </c>
      <c r="D18" s="460">
        <f>C18*$C$43</f>
        <v>0.015496688741721854</v>
      </c>
      <c r="E18" s="459"/>
      <c r="F18" s="460">
        <f>C18*$C$44</f>
        <v>0.06622516556291391</v>
      </c>
    </row>
    <row r="19" spans="2:6" ht="12.75">
      <c r="B19" s="14">
        <v>2</v>
      </c>
      <c r="C19" s="459">
        <v>0.05</v>
      </c>
      <c r="D19" s="460">
        <f aca="true" t="shared" si="0" ref="D19:D41">C19*$C$43</f>
        <v>0.015496688741721854</v>
      </c>
      <c r="E19" s="459"/>
      <c r="F19" s="460">
        <f aca="true" t="shared" si="1" ref="F19:F41">C19*$C$44</f>
        <v>0.06622516556291391</v>
      </c>
    </row>
    <row r="20" spans="2:6" ht="12.75">
      <c r="B20" s="14">
        <v>3</v>
      </c>
      <c r="C20" s="459">
        <v>0.05</v>
      </c>
      <c r="D20" s="460">
        <f t="shared" si="0"/>
        <v>0.015496688741721854</v>
      </c>
      <c r="E20" s="459"/>
      <c r="F20" s="460">
        <f t="shared" si="1"/>
        <v>0.06622516556291391</v>
      </c>
    </row>
    <row r="21" spans="2:6" ht="12.75">
      <c r="B21" s="14">
        <v>4</v>
      </c>
      <c r="C21" s="459">
        <v>0.05</v>
      </c>
      <c r="D21" s="460">
        <f t="shared" si="0"/>
        <v>0.015496688741721854</v>
      </c>
      <c r="E21" s="459"/>
      <c r="F21" s="460">
        <f t="shared" si="1"/>
        <v>0.06622516556291391</v>
      </c>
    </row>
    <row r="22" spans="2:6" ht="12.75">
      <c r="B22" s="14">
        <v>5</v>
      </c>
      <c r="C22" s="459">
        <v>0.05</v>
      </c>
      <c r="D22" s="460">
        <f t="shared" si="0"/>
        <v>0.015496688741721854</v>
      </c>
      <c r="E22" s="459"/>
      <c r="F22" s="460">
        <f t="shared" si="1"/>
        <v>0.06622516556291391</v>
      </c>
    </row>
    <row r="23" spans="2:6" ht="12.75">
      <c r="B23" s="14">
        <v>6</v>
      </c>
      <c r="C23" s="459">
        <v>0.05</v>
      </c>
      <c r="D23" s="460">
        <f t="shared" si="0"/>
        <v>0.015496688741721854</v>
      </c>
      <c r="E23" s="459"/>
      <c r="F23" s="460">
        <f t="shared" si="1"/>
        <v>0.06622516556291391</v>
      </c>
    </row>
    <row r="24" spans="2:6" ht="12.75">
      <c r="B24" s="14">
        <v>7</v>
      </c>
      <c r="C24" s="459">
        <v>0.25</v>
      </c>
      <c r="D24" s="460">
        <f t="shared" si="0"/>
        <v>0.07748344370860927</v>
      </c>
      <c r="E24" s="459"/>
      <c r="F24" s="460">
        <f t="shared" si="1"/>
        <v>0.33112582781456956</v>
      </c>
    </row>
    <row r="25" spans="2:6" ht="12.75">
      <c r="B25" s="14">
        <v>8</v>
      </c>
      <c r="C25" s="459">
        <v>0.45</v>
      </c>
      <c r="D25" s="460">
        <f t="shared" si="0"/>
        <v>0.13947019867549668</v>
      </c>
      <c r="E25" s="459"/>
      <c r="F25" s="460">
        <f t="shared" si="1"/>
        <v>0.5960264900662252</v>
      </c>
    </row>
    <row r="26" spans="2:6" ht="12.75">
      <c r="B26" s="14">
        <v>9</v>
      </c>
      <c r="C26" s="459">
        <v>0.45</v>
      </c>
      <c r="D26" s="460">
        <f t="shared" si="0"/>
        <v>0.13947019867549668</v>
      </c>
      <c r="E26" s="459"/>
      <c r="F26" s="460">
        <f t="shared" si="1"/>
        <v>0.5960264900662252</v>
      </c>
    </row>
    <row r="27" spans="2:6" ht="12.75">
      <c r="B27" s="14">
        <v>10</v>
      </c>
      <c r="C27" s="459">
        <v>0.35</v>
      </c>
      <c r="D27" s="460">
        <f t="shared" si="0"/>
        <v>0.10847682119205297</v>
      </c>
      <c r="E27" s="459"/>
      <c r="F27" s="460">
        <f t="shared" si="1"/>
        <v>0.46357615894039733</v>
      </c>
    </row>
    <row r="28" spans="2:6" ht="12.75">
      <c r="B28" s="14">
        <v>11</v>
      </c>
      <c r="C28" s="459">
        <v>0.35</v>
      </c>
      <c r="D28" s="460">
        <f t="shared" si="0"/>
        <v>0.10847682119205297</v>
      </c>
      <c r="E28" s="459"/>
      <c r="F28" s="460">
        <f t="shared" si="1"/>
        <v>0.46357615894039733</v>
      </c>
    </row>
    <row r="29" spans="2:6" ht="12.75">
      <c r="B29" s="14">
        <v>12</v>
      </c>
      <c r="C29" s="459">
        <v>0.35</v>
      </c>
      <c r="D29" s="460">
        <f t="shared" si="0"/>
        <v>0.10847682119205297</v>
      </c>
      <c r="E29" s="459"/>
      <c r="F29" s="460">
        <f t="shared" si="1"/>
        <v>0.46357615894039733</v>
      </c>
    </row>
    <row r="30" spans="2:6" ht="12.75">
      <c r="B30" s="14">
        <v>13</v>
      </c>
      <c r="C30" s="459">
        <v>0.25</v>
      </c>
      <c r="D30" s="460">
        <f t="shared" si="0"/>
        <v>0.07748344370860927</v>
      </c>
      <c r="E30" s="459"/>
      <c r="F30" s="460">
        <f t="shared" si="1"/>
        <v>0.33112582781456956</v>
      </c>
    </row>
    <row r="31" spans="2:6" ht="12.75">
      <c r="B31" s="14">
        <v>14</v>
      </c>
      <c r="C31" s="459">
        <v>0.25</v>
      </c>
      <c r="D31" s="460">
        <f t="shared" si="0"/>
        <v>0.07748344370860927</v>
      </c>
      <c r="E31" s="459"/>
      <c r="F31" s="460">
        <f t="shared" si="1"/>
        <v>0.33112582781456956</v>
      </c>
    </row>
    <row r="32" spans="2:6" ht="12.75">
      <c r="B32" s="14">
        <v>15</v>
      </c>
      <c r="C32" s="459">
        <v>0.25</v>
      </c>
      <c r="D32" s="460">
        <f t="shared" si="0"/>
        <v>0.07748344370860927</v>
      </c>
      <c r="E32" s="459"/>
      <c r="F32" s="460">
        <f t="shared" si="1"/>
        <v>0.33112582781456956</v>
      </c>
    </row>
    <row r="33" spans="2:6" ht="12.75">
      <c r="B33" s="14">
        <v>16</v>
      </c>
      <c r="C33" s="459">
        <v>0.25</v>
      </c>
      <c r="D33" s="460">
        <f t="shared" si="0"/>
        <v>0.07748344370860927</v>
      </c>
      <c r="E33" s="459"/>
      <c r="F33" s="460">
        <f t="shared" si="1"/>
        <v>0.33112582781456956</v>
      </c>
    </row>
    <row r="34" spans="2:6" ht="12.75">
      <c r="B34" s="14">
        <v>17</v>
      </c>
      <c r="C34" s="459">
        <v>0.25</v>
      </c>
      <c r="D34" s="460">
        <f t="shared" si="0"/>
        <v>0.07748344370860927</v>
      </c>
      <c r="E34" s="459"/>
      <c r="F34" s="460">
        <f t="shared" si="1"/>
        <v>0.33112582781456956</v>
      </c>
    </row>
    <row r="35" spans="2:6" ht="12.75">
      <c r="B35" s="14">
        <v>18</v>
      </c>
      <c r="C35" s="459">
        <v>0.35</v>
      </c>
      <c r="D35" s="460">
        <f t="shared" si="0"/>
        <v>0.10847682119205297</v>
      </c>
      <c r="E35" s="459"/>
      <c r="F35" s="460">
        <f t="shared" si="1"/>
        <v>0.46357615894039733</v>
      </c>
    </row>
    <row r="36" spans="2:6" ht="12.75">
      <c r="B36" s="14">
        <v>19</v>
      </c>
      <c r="C36" s="459">
        <v>0.7</v>
      </c>
      <c r="D36" s="460">
        <f t="shared" si="0"/>
        <v>0.21695364238410594</v>
      </c>
      <c r="E36" s="459"/>
      <c r="F36" s="460">
        <f t="shared" si="1"/>
        <v>0.9271523178807947</v>
      </c>
    </row>
    <row r="37" spans="2:6" ht="12.75">
      <c r="B37" s="14">
        <v>20</v>
      </c>
      <c r="C37" s="459">
        <v>0.7</v>
      </c>
      <c r="D37" s="460">
        <f t="shared" si="0"/>
        <v>0.21695364238410594</v>
      </c>
      <c r="E37" s="459"/>
      <c r="F37" s="460">
        <f t="shared" si="1"/>
        <v>0.9271523178807947</v>
      </c>
    </row>
    <row r="38" spans="2:6" ht="12.75">
      <c r="B38" s="14">
        <v>21</v>
      </c>
      <c r="C38" s="459">
        <v>0.7</v>
      </c>
      <c r="D38" s="460">
        <f t="shared" si="0"/>
        <v>0.21695364238410594</v>
      </c>
      <c r="E38" s="459"/>
      <c r="F38" s="460">
        <f t="shared" si="1"/>
        <v>0.9271523178807947</v>
      </c>
    </row>
    <row r="39" spans="2:6" ht="12.75">
      <c r="B39" s="14">
        <v>22</v>
      </c>
      <c r="C39" s="459">
        <v>0.7</v>
      </c>
      <c r="D39" s="460">
        <f t="shared" si="0"/>
        <v>0.21695364238410594</v>
      </c>
      <c r="E39" s="459"/>
      <c r="F39" s="460">
        <f t="shared" si="1"/>
        <v>0.9271523178807947</v>
      </c>
    </row>
    <row r="40" spans="2:6" ht="12.75">
      <c r="B40" s="14">
        <v>23</v>
      </c>
      <c r="C40" s="459">
        <v>0.6</v>
      </c>
      <c r="D40" s="460">
        <f t="shared" si="0"/>
        <v>0.18596026490066223</v>
      </c>
      <c r="E40" s="459"/>
      <c r="F40" s="460">
        <f t="shared" si="1"/>
        <v>0.794701986754967</v>
      </c>
    </row>
    <row r="41" spans="2:6" ht="12.75">
      <c r="B41" s="14">
        <v>24</v>
      </c>
      <c r="C41" s="459">
        <v>0.05</v>
      </c>
      <c r="D41" s="460">
        <f t="shared" si="0"/>
        <v>0.015496688741721854</v>
      </c>
      <c r="E41" s="459"/>
      <c r="F41" s="460">
        <f t="shared" si="1"/>
        <v>0.06622516556291391</v>
      </c>
    </row>
    <row r="42" spans="2:6" ht="12.75">
      <c r="B42" s="14" t="s">
        <v>292</v>
      </c>
      <c r="C42" s="459">
        <f>SUM(C18:C41)</f>
        <v>7.55</v>
      </c>
      <c r="D42" s="459">
        <f>SUM(D18:D41)</f>
        <v>2.34</v>
      </c>
      <c r="E42" s="459"/>
      <c r="F42" s="459">
        <f>SUM(F18:F41)</f>
        <v>10.000000000000002</v>
      </c>
    </row>
    <row r="43" spans="2:3" ht="12.75">
      <c r="B43" s="14" t="s">
        <v>234</v>
      </c>
      <c r="C43" s="14">
        <f>C11/C42</f>
        <v>0.30993377483443707</v>
      </c>
    </row>
    <row r="44" spans="2:3" ht="12.75">
      <c r="B44" s="14" t="s">
        <v>233</v>
      </c>
      <c r="C44" s="14">
        <f>C14/C42</f>
        <v>1.3245033112582782</v>
      </c>
    </row>
  </sheetData>
  <sheetProtection sheet="1"/>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tabColor indexed="60"/>
  </sheetPr>
  <dimension ref="A1:V71"/>
  <sheetViews>
    <sheetView zoomScalePageLayoutView="0" workbookViewId="0" topLeftCell="A1">
      <selection activeCell="B13" sqref="B13"/>
    </sheetView>
  </sheetViews>
  <sheetFormatPr defaultColWidth="9.140625" defaultRowHeight="12.75"/>
  <cols>
    <col min="1" max="1" width="2.00390625" style="14" bestFit="1" customWidth="1"/>
    <col min="2" max="2" width="18.7109375" style="14" customWidth="1"/>
    <col min="3" max="3" width="8.28125" style="14" customWidth="1"/>
    <col min="4" max="4" width="8.421875" style="14" customWidth="1"/>
    <col min="5" max="5" width="7.57421875" style="14" customWidth="1"/>
    <col min="6" max="6" width="9.28125" style="14" customWidth="1"/>
    <col min="7" max="7" width="12.140625" style="14" customWidth="1"/>
    <col min="8" max="8" width="9.140625" style="14" customWidth="1"/>
    <col min="9" max="9" width="12.8515625" style="14" customWidth="1"/>
    <col min="10" max="10" width="9.140625" style="14" customWidth="1"/>
    <col min="11" max="11" width="16.7109375" style="14" customWidth="1"/>
    <col min="12" max="12" width="12.28125" style="14" customWidth="1"/>
    <col min="13" max="13" width="11.140625" style="14" customWidth="1"/>
    <col min="14" max="18" width="9.140625" style="14" customWidth="1"/>
    <col min="19" max="19" width="0" style="14" hidden="1" customWidth="1"/>
    <col min="20" max="16384" width="9.140625" style="14" customWidth="1"/>
  </cols>
  <sheetData>
    <row r="1" ht="12.75">
      <c r="B1" s="15" t="s">
        <v>212</v>
      </c>
    </row>
    <row r="2" spans="1:12" ht="12.75" customHeight="1">
      <c r="A2" s="454">
        <v>1</v>
      </c>
      <c r="B2" s="1335" t="s">
        <v>926</v>
      </c>
      <c r="C2" s="1335"/>
      <c r="D2" s="1335"/>
      <c r="E2" s="1335"/>
      <c r="F2" s="1335"/>
      <c r="G2" s="1335"/>
      <c r="H2" s="1335"/>
      <c r="I2" s="1335"/>
      <c r="J2" s="1335"/>
      <c r="K2" s="1335"/>
      <c r="L2" s="1335"/>
    </row>
    <row r="3" spans="1:13" ht="41.25" customHeight="1">
      <c r="A3" s="454">
        <v>2</v>
      </c>
      <c r="B3" s="1337" t="s">
        <v>704</v>
      </c>
      <c r="C3" s="1337"/>
      <c r="D3" s="1337"/>
      <c r="E3" s="1337"/>
      <c r="F3" s="1337"/>
      <c r="G3" s="1337"/>
      <c r="H3" s="1337"/>
      <c r="I3" s="1337"/>
      <c r="J3" s="1337"/>
      <c r="K3" s="1337"/>
      <c r="L3" s="1337"/>
      <c r="M3" s="130"/>
    </row>
    <row r="4" spans="1:12" ht="26.25" customHeight="1">
      <c r="A4" s="454">
        <v>3</v>
      </c>
      <c r="B4" s="1338" t="s">
        <v>8</v>
      </c>
      <c r="C4" s="1339"/>
      <c r="D4" s="1339"/>
      <c r="E4" s="1339"/>
      <c r="F4" s="1339"/>
      <c r="G4" s="1339"/>
      <c r="H4" s="1339"/>
      <c r="I4" s="1339"/>
      <c r="J4" s="1339"/>
      <c r="K4" s="1339"/>
      <c r="L4" s="1339"/>
    </row>
    <row r="5" spans="1:12" ht="40.5" customHeight="1">
      <c r="A5" s="454">
        <v>4</v>
      </c>
      <c r="B5" s="1337" t="s">
        <v>1012</v>
      </c>
      <c r="C5" s="1174"/>
      <c r="D5" s="1174"/>
      <c r="E5" s="1174"/>
      <c r="F5" s="1174"/>
      <c r="G5" s="1174"/>
      <c r="H5" s="1174"/>
      <c r="I5" s="1174"/>
      <c r="J5" s="1174"/>
      <c r="K5" s="1174"/>
      <c r="L5" s="1174"/>
    </row>
    <row r="6" spans="1:13" ht="25.5" customHeight="1">
      <c r="A6" s="454">
        <v>5</v>
      </c>
      <c r="B6" s="1336" t="s">
        <v>1029</v>
      </c>
      <c r="C6" s="1336"/>
      <c r="D6" s="1336"/>
      <c r="E6" s="1336"/>
      <c r="F6" s="1336"/>
      <c r="G6" s="1336"/>
      <c r="H6" s="1336"/>
      <c r="I6" s="1336"/>
      <c r="J6" s="1336"/>
      <c r="K6" s="1336"/>
      <c r="L6" s="1336"/>
      <c r="M6" s="402"/>
    </row>
    <row r="7" spans="1:7" ht="12.75">
      <c r="A7" s="454">
        <v>6</v>
      </c>
      <c r="B7" s="375" t="s">
        <v>72</v>
      </c>
      <c r="C7" s="375"/>
      <c r="D7" s="375"/>
      <c r="E7" s="375"/>
      <c r="F7" s="402"/>
      <c r="G7" s="402"/>
    </row>
    <row r="8" spans="1:2" s="402" customFormat="1" ht="12.75">
      <c r="A8" s="455">
        <v>7</v>
      </c>
      <c r="B8" s="402" t="s">
        <v>126</v>
      </c>
    </row>
    <row r="9" spans="1:11" ht="12.75">
      <c r="A9" s="454">
        <v>8</v>
      </c>
      <c r="B9" s="376" t="s">
        <v>507</v>
      </c>
      <c r="C9" s="377"/>
      <c r="D9" s="377"/>
      <c r="E9" s="377"/>
      <c r="F9" s="377"/>
      <c r="G9" s="377"/>
      <c r="H9" s="377"/>
      <c r="I9" s="377"/>
      <c r="J9" s="377"/>
      <c r="K9" s="377"/>
    </row>
    <row r="10" spans="1:7" ht="12.75">
      <c r="A10" s="454"/>
      <c r="B10" s="402"/>
      <c r="C10" s="402"/>
      <c r="D10" s="402"/>
      <c r="E10" s="402"/>
      <c r="F10" s="402"/>
      <c r="G10" s="402"/>
    </row>
    <row r="11" ht="12.75">
      <c r="B11" s="461" t="s">
        <v>242</v>
      </c>
    </row>
    <row r="12" spans="2:15" ht="64.5" customHeight="1" thickBot="1">
      <c r="B12" s="462" t="s">
        <v>3</v>
      </c>
      <c r="C12" s="462" t="s">
        <v>243</v>
      </c>
      <c r="D12" s="462" t="s">
        <v>5</v>
      </c>
      <c r="E12" s="462" t="s">
        <v>2</v>
      </c>
      <c r="F12" s="462" t="s">
        <v>6</v>
      </c>
      <c r="G12" s="462" t="s">
        <v>933</v>
      </c>
      <c r="H12" s="462" t="s">
        <v>244</v>
      </c>
      <c r="I12" s="463" t="s">
        <v>245</v>
      </c>
      <c r="J12" s="463" t="s">
        <v>7</v>
      </c>
      <c r="K12" s="463" t="s">
        <v>932</v>
      </c>
      <c r="L12" s="463" t="s">
        <v>1013</v>
      </c>
      <c r="M12" s="696"/>
      <c r="N12" s="697"/>
      <c r="O12" s="697"/>
    </row>
    <row r="13" spans="2:22" ht="13.5" thickBot="1">
      <c r="B13" s="795"/>
      <c r="C13" s="825"/>
      <c r="D13" s="825"/>
      <c r="E13" s="826"/>
      <c r="F13" s="92">
        <f>IF(E13="",0,VLOOKUP('In-Unit Lighting'!E13,'Interior Lighting'!$I$2:$K$24,3,FALSE))</f>
        <v>0</v>
      </c>
      <c r="G13" s="651" t="e">
        <f>LOOKUP(E13,'Interior Lighting'!$I$2:$I$24,'Interior Lighting'!$J$2:$J$24)*LOOKUP(LOOKUP(E13,'Interior Lighting'!$I$2:$I$24,'Interior Lighting'!$L$2:$L$24),'Interior Lighting'!$AF$2:$AF$17,'Interior Lighting'!$AJ$2:$AJ$17)*LOOKUP(LOOKUP(E13,'Interior Lighting'!$I$2:$I$24,'Interior Lighting'!$L$2:$L$24),'Interior Lighting'!$AF$2:$AF$17,'Interior Lighting'!AH2:AH17)</f>
        <v>#N/A</v>
      </c>
      <c r="H13" s="825"/>
      <c r="I13" s="465">
        <f aca="true" t="shared" si="0" ref="I13:I24">C13*H13</f>
        <v>0</v>
      </c>
      <c r="J13" s="466">
        <f aca="true" t="shared" si="1" ref="J13:J41">D13*F13*H13</f>
        <v>0</v>
      </c>
      <c r="K13" s="652" t="e">
        <f>IF(G13&gt;0,(D13*F13)*G13/C13,"0.0")</f>
        <v>#N/A</v>
      </c>
      <c r="L13" s="466" t="e">
        <f>(F13*D13)/C13</f>
        <v>#DIV/0!</v>
      </c>
      <c r="M13" s="374">
        <f>IF(C13&gt;0,IF(C13&gt;3*D13*F13," Confirm that instruction 4 above has been followed.",""),"")</f>
      </c>
      <c r="N13" s="399"/>
      <c r="O13" s="698"/>
      <c r="Q13" s="699"/>
      <c r="S13" s="14" t="str">
        <f>IF(C13&gt;0,J13*G13,"0")</f>
        <v>0</v>
      </c>
      <c r="V13" s="551" t="s">
        <v>135</v>
      </c>
    </row>
    <row r="14" spans="2:19" ht="13.5" thickBot="1">
      <c r="B14" s="795"/>
      <c r="C14" s="825"/>
      <c r="D14" s="826"/>
      <c r="E14" s="826"/>
      <c r="F14" s="92">
        <f>IF(E14="",0,VLOOKUP('In-Unit Lighting'!E14,'Interior Lighting'!$I$2:$K$24,3,FALSE))</f>
        <v>0</v>
      </c>
      <c r="G14" s="651" t="e">
        <f>LOOKUP(E14,'Interior Lighting'!$I$2:$I$24,'Interior Lighting'!$J$2:$J$24)*LOOKUP(LOOKUP(E14,'Interior Lighting'!$I$2:$I$24,'Interior Lighting'!$L$2:$L$24),'Interior Lighting'!$AF$2:$AF$17,'Interior Lighting'!$AJ$2:$AJ$17)*LOOKUP(LOOKUP(E14,'Interior Lighting'!$I$2:$I$24,'Interior Lighting'!$L$2:$L$24),'Interior Lighting'!$AF$2:$AF$17,'Interior Lighting'!AH3:AH18)</f>
        <v>#N/A</v>
      </c>
      <c r="H14" s="825"/>
      <c r="I14" s="465">
        <f t="shared" si="0"/>
        <v>0</v>
      </c>
      <c r="J14" s="466">
        <f t="shared" si="1"/>
        <v>0</v>
      </c>
      <c r="K14" s="652" t="e">
        <f aca="true" t="shared" si="2" ref="K14:K24">IF(G14&gt;0,(D14*F14)*G14/C14,"0.0")</f>
        <v>#N/A</v>
      </c>
      <c r="L14" s="466" t="e">
        <f aca="true" t="shared" si="3" ref="L14:L41">(F14*D14)/C14</f>
        <v>#DIV/0!</v>
      </c>
      <c r="M14" s="374">
        <f aca="true" t="shared" si="4" ref="M14:M41">IF(C14&gt;0,IF(C14&gt;3*D14*F14," Confirm that instruction 4 above has been followed.",""),"")</f>
      </c>
      <c r="N14" s="399"/>
      <c r="O14" s="698"/>
      <c r="Q14" s="699"/>
      <c r="S14" s="14" t="str">
        <f aca="true" t="shared" si="5" ref="S14:S41">IF(C14&gt;0,J14*G14,"0")</f>
        <v>0</v>
      </c>
    </row>
    <row r="15" spans="2:19" ht="13.5" thickBot="1">
      <c r="B15" s="795"/>
      <c r="C15" s="825"/>
      <c r="D15" s="825"/>
      <c r="E15" s="826"/>
      <c r="F15" s="92">
        <f>IF(E15="",0,VLOOKUP('In-Unit Lighting'!E15,'Interior Lighting'!$I$2:$K$24,3,FALSE))</f>
        <v>0</v>
      </c>
      <c r="G15" s="651" t="e">
        <f>LOOKUP(E15,'Interior Lighting'!$I$2:$I$24,'Interior Lighting'!$J$2:$J$24)*LOOKUP(LOOKUP(E15,'Interior Lighting'!$I$2:$I$24,'Interior Lighting'!$L$2:$L$24),'Interior Lighting'!$AF$2:$AF$17,'Interior Lighting'!$AJ$2:$AJ$17)*LOOKUP(LOOKUP(E15,'Interior Lighting'!$I$2:$I$24,'Interior Lighting'!$L$2:$L$24),'Interior Lighting'!$AF$2:$AF$17,'Interior Lighting'!AH4:AH19)</f>
        <v>#N/A</v>
      </c>
      <c r="H15" s="825"/>
      <c r="I15" s="465">
        <f t="shared" si="0"/>
        <v>0</v>
      </c>
      <c r="J15" s="466">
        <f t="shared" si="1"/>
        <v>0</v>
      </c>
      <c r="K15" s="652" t="e">
        <f t="shared" si="2"/>
        <v>#N/A</v>
      </c>
      <c r="L15" s="466" t="e">
        <f t="shared" si="3"/>
        <v>#DIV/0!</v>
      </c>
      <c r="M15" s="374">
        <f t="shared" si="4"/>
      </c>
      <c r="N15" s="399"/>
      <c r="O15" s="698"/>
      <c r="Q15" s="699"/>
      <c r="S15" s="14" t="str">
        <f t="shared" si="5"/>
        <v>0</v>
      </c>
    </row>
    <row r="16" spans="2:19" ht="13.5" thickBot="1">
      <c r="B16" s="795"/>
      <c r="C16" s="825"/>
      <c r="D16" s="825"/>
      <c r="E16" s="826"/>
      <c r="F16" s="92">
        <f>IF(E16="",0,VLOOKUP('In-Unit Lighting'!E16,'Interior Lighting'!$I$2:$K$24,3,FALSE))</f>
        <v>0</v>
      </c>
      <c r="G16" s="651" t="e">
        <f>LOOKUP(E16,'Interior Lighting'!$I$2:$I$24,'Interior Lighting'!$J$2:$J$24)*LOOKUP(LOOKUP(E16,'Interior Lighting'!$I$2:$I$24,'Interior Lighting'!$L$2:$L$24),'Interior Lighting'!$AF$2:$AF$17,'Interior Lighting'!$AJ$2:$AJ$17)*LOOKUP(LOOKUP(E16,'Interior Lighting'!$I$2:$I$24,'Interior Lighting'!$L$2:$L$24),'Interior Lighting'!$AF$2:$AF$17,'Interior Lighting'!AH5:AH20)</f>
        <v>#N/A</v>
      </c>
      <c r="H16" s="825"/>
      <c r="I16" s="465">
        <f t="shared" si="0"/>
        <v>0</v>
      </c>
      <c r="J16" s="466">
        <f t="shared" si="1"/>
        <v>0</v>
      </c>
      <c r="K16" s="652" t="e">
        <f t="shared" si="2"/>
        <v>#N/A</v>
      </c>
      <c r="L16" s="466" t="e">
        <f t="shared" si="3"/>
        <v>#DIV/0!</v>
      </c>
      <c r="M16" s="374">
        <f t="shared" si="4"/>
      </c>
      <c r="N16" s="399"/>
      <c r="O16" s="698"/>
      <c r="Q16" s="699"/>
      <c r="S16" s="14" t="str">
        <f t="shared" si="5"/>
        <v>0</v>
      </c>
    </row>
    <row r="17" spans="2:19" ht="13.5" thickBot="1">
      <c r="B17" s="795"/>
      <c r="C17" s="825"/>
      <c r="D17" s="825"/>
      <c r="E17" s="826"/>
      <c r="F17" s="92">
        <f>IF(E17="",0,VLOOKUP('In-Unit Lighting'!E17,'Interior Lighting'!$I$2:$K$24,3,FALSE))</f>
        <v>0</v>
      </c>
      <c r="G17" s="651" t="e">
        <f>LOOKUP(E17,'Interior Lighting'!$I$2:$I$24,'Interior Lighting'!$J$2:$J$24)*LOOKUP(LOOKUP(E17,'Interior Lighting'!$I$2:$I$24,'Interior Lighting'!$L$2:$L$24),'Interior Lighting'!$AF$2:$AF$17,'Interior Lighting'!$AJ$2:$AJ$17)*LOOKUP(LOOKUP(E17,'Interior Lighting'!$I$2:$I$24,'Interior Lighting'!$L$2:$L$24),'Interior Lighting'!$AF$2:$AF$17,'Interior Lighting'!AH6:AH21)</f>
        <v>#N/A</v>
      </c>
      <c r="H17" s="825"/>
      <c r="I17" s="465">
        <f t="shared" si="0"/>
        <v>0</v>
      </c>
      <c r="J17" s="466">
        <f t="shared" si="1"/>
        <v>0</v>
      </c>
      <c r="K17" s="652" t="e">
        <f t="shared" si="2"/>
        <v>#N/A</v>
      </c>
      <c r="L17" s="466" t="e">
        <f t="shared" si="3"/>
        <v>#DIV/0!</v>
      </c>
      <c r="M17" s="374">
        <f t="shared" si="4"/>
      </c>
      <c r="N17" s="399"/>
      <c r="O17" s="698"/>
      <c r="Q17" s="699"/>
      <c r="S17" s="14" t="str">
        <f t="shared" si="5"/>
        <v>0</v>
      </c>
    </row>
    <row r="18" spans="2:19" ht="13.5" thickBot="1">
      <c r="B18" s="795"/>
      <c r="C18" s="825"/>
      <c r="D18" s="825"/>
      <c r="E18" s="826"/>
      <c r="F18" s="92">
        <f>IF(E18="",0,VLOOKUP('In-Unit Lighting'!E18,'Interior Lighting'!$I$2:$K$24,3,FALSE))</f>
        <v>0</v>
      </c>
      <c r="G18" s="651" t="e">
        <f>LOOKUP(E18,'Interior Lighting'!$I$2:$I$24,'Interior Lighting'!$J$2:$J$24)*LOOKUP(LOOKUP(E18,'Interior Lighting'!$I$2:$I$24,'Interior Lighting'!$L$2:$L$24),'Interior Lighting'!$AF$2:$AF$17,'Interior Lighting'!$AJ$2:$AJ$17)*LOOKUP(LOOKUP(E18,'Interior Lighting'!$I$2:$I$24,'Interior Lighting'!$L$2:$L$24),'Interior Lighting'!$AF$2:$AF$17,'Interior Lighting'!AH7:AH22)</f>
        <v>#N/A</v>
      </c>
      <c r="H18" s="825"/>
      <c r="I18" s="465">
        <f t="shared" si="0"/>
        <v>0</v>
      </c>
      <c r="J18" s="466">
        <f t="shared" si="1"/>
        <v>0</v>
      </c>
      <c r="K18" s="652" t="e">
        <f t="shared" si="2"/>
        <v>#N/A</v>
      </c>
      <c r="L18" s="466" t="e">
        <f t="shared" si="3"/>
        <v>#DIV/0!</v>
      </c>
      <c r="M18" s="374">
        <f t="shared" si="4"/>
      </c>
      <c r="N18" s="571"/>
      <c r="O18" s="698"/>
      <c r="Q18" s="699"/>
      <c r="S18" s="14" t="str">
        <f t="shared" si="5"/>
        <v>0</v>
      </c>
    </row>
    <row r="19" spans="2:19" ht="13.5" thickBot="1">
      <c r="B19" s="795"/>
      <c r="C19" s="825"/>
      <c r="D19" s="825"/>
      <c r="E19" s="826"/>
      <c r="F19" s="92">
        <f>IF(E19="",0,VLOOKUP('In-Unit Lighting'!E19,'Interior Lighting'!$I$2:$K$24,3,FALSE))</f>
        <v>0</v>
      </c>
      <c r="G19" s="651" t="e">
        <f>LOOKUP(E19,'Interior Lighting'!$I$2:$I$24,'Interior Lighting'!$J$2:$J$24)*LOOKUP(LOOKUP(E19,'Interior Lighting'!$I$2:$I$24,'Interior Lighting'!$L$2:$L$24),'Interior Lighting'!$AF$2:$AF$17,'Interior Lighting'!$AJ$2:$AJ$17)*LOOKUP(LOOKUP(E19,'Interior Lighting'!$I$2:$I$24,'Interior Lighting'!$L$2:$L$24),'Interior Lighting'!$AF$2:$AF$17,'Interior Lighting'!AH8:AH23)</f>
        <v>#N/A</v>
      </c>
      <c r="H19" s="825"/>
      <c r="I19" s="465">
        <f t="shared" si="0"/>
        <v>0</v>
      </c>
      <c r="J19" s="466">
        <f t="shared" si="1"/>
        <v>0</v>
      </c>
      <c r="K19" s="652" t="e">
        <f t="shared" si="2"/>
        <v>#N/A</v>
      </c>
      <c r="L19" s="466" t="e">
        <f t="shared" si="3"/>
        <v>#DIV/0!</v>
      </c>
      <c r="M19" s="374">
        <f t="shared" si="4"/>
      </c>
      <c r="O19" s="489"/>
      <c r="Q19" s="699"/>
      <c r="S19" s="14" t="str">
        <f t="shared" si="5"/>
        <v>0</v>
      </c>
    </row>
    <row r="20" spans="2:19" ht="13.5" thickBot="1">
      <c r="B20" s="795"/>
      <c r="C20" s="825"/>
      <c r="D20" s="825"/>
      <c r="E20" s="826"/>
      <c r="F20" s="92">
        <f>IF(E20="",0,VLOOKUP('In-Unit Lighting'!E20,'Interior Lighting'!$I$2:$K$24,3,FALSE))</f>
        <v>0</v>
      </c>
      <c r="G20" s="651" t="e">
        <f>LOOKUP(E20,'Interior Lighting'!$I$2:$I$24,'Interior Lighting'!$J$2:$J$24)*LOOKUP(LOOKUP(E20,'Interior Lighting'!$I$2:$I$24,'Interior Lighting'!$L$2:$L$24),'Interior Lighting'!$AF$2:$AF$17,'Interior Lighting'!$AJ$2:$AJ$17)*LOOKUP(LOOKUP(E20,'Interior Lighting'!$I$2:$I$24,'Interior Lighting'!$L$2:$L$24),'Interior Lighting'!$AF$2:$AF$17,'Interior Lighting'!AH9:AH24)</f>
        <v>#N/A</v>
      </c>
      <c r="H20" s="825"/>
      <c r="I20" s="465">
        <f t="shared" si="0"/>
        <v>0</v>
      </c>
      <c r="J20" s="466">
        <f t="shared" si="1"/>
        <v>0</v>
      </c>
      <c r="K20" s="652" t="e">
        <f t="shared" si="2"/>
        <v>#N/A</v>
      </c>
      <c r="L20" s="466" t="e">
        <f t="shared" si="3"/>
        <v>#DIV/0!</v>
      </c>
      <c r="M20" s="374">
        <f t="shared" si="4"/>
      </c>
      <c r="Q20" s="699"/>
      <c r="S20" s="14" t="str">
        <f t="shared" si="5"/>
        <v>0</v>
      </c>
    </row>
    <row r="21" spans="2:19" ht="13.5" thickBot="1">
      <c r="B21" s="795"/>
      <c r="C21" s="825"/>
      <c r="D21" s="825"/>
      <c r="E21" s="826"/>
      <c r="F21" s="92">
        <f>IF(E21="",0,VLOOKUP('In-Unit Lighting'!E21,'Interior Lighting'!$I$2:$K$24,3,FALSE))</f>
        <v>0</v>
      </c>
      <c r="G21" s="651" t="e">
        <f>LOOKUP(E21,'Interior Lighting'!$I$2:$I$24,'Interior Lighting'!$J$2:$J$24)*LOOKUP(LOOKUP(E21,'Interior Lighting'!$I$2:$I$24,'Interior Lighting'!$L$2:$L$24),'Interior Lighting'!$AF$2:$AF$17,'Interior Lighting'!$AJ$2:$AJ$17)*LOOKUP(LOOKUP(E21,'Interior Lighting'!$I$2:$I$24,'Interior Lighting'!$L$2:$L$24),'Interior Lighting'!$AF$2:$AF$17,'Interior Lighting'!AH10:AH25)</f>
        <v>#N/A</v>
      </c>
      <c r="H21" s="825"/>
      <c r="I21" s="465">
        <f t="shared" si="0"/>
        <v>0</v>
      </c>
      <c r="J21" s="466">
        <f t="shared" si="1"/>
        <v>0</v>
      </c>
      <c r="K21" s="652" t="e">
        <f t="shared" si="2"/>
        <v>#N/A</v>
      </c>
      <c r="L21" s="466" t="e">
        <f t="shared" si="3"/>
        <v>#DIV/0!</v>
      </c>
      <c r="M21" s="374">
        <f t="shared" si="4"/>
      </c>
      <c r="N21" s="457"/>
      <c r="Q21" s="699"/>
      <c r="S21" s="14" t="str">
        <f t="shared" si="5"/>
        <v>0</v>
      </c>
    </row>
    <row r="22" spans="2:19" ht="13.5" thickBot="1">
      <c r="B22" s="795"/>
      <c r="C22" s="825"/>
      <c r="D22" s="825"/>
      <c r="E22" s="826"/>
      <c r="F22" s="92">
        <f>IF(E22="",0,VLOOKUP('In-Unit Lighting'!E22,'Interior Lighting'!$I$2:$K$24,3,FALSE))</f>
        <v>0</v>
      </c>
      <c r="G22" s="651" t="e">
        <f>LOOKUP(E22,'Interior Lighting'!$I$2:$I$24,'Interior Lighting'!$J$2:$J$24)*LOOKUP(LOOKUP(E22,'Interior Lighting'!$I$2:$I$24,'Interior Lighting'!$L$2:$L$24),'Interior Lighting'!$AF$2:$AF$17,'Interior Lighting'!$AJ$2:$AJ$17)*LOOKUP(LOOKUP(E22,'Interior Lighting'!$I$2:$I$24,'Interior Lighting'!$L$2:$L$24),'Interior Lighting'!$AF$2:$AF$17,'Interior Lighting'!AH11:AH26)</f>
        <v>#N/A</v>
      </c>
      <c r="H22" s="825"/>
      <c r="I22" s="465">
        <f t="shared" si="0"/>
        <v>0</v>
      </c>
      <c r="J22" s="466">
        <f t="shared" si="1"/>
        <v>0</v>
      </c>
      <c r="K22" s="652" t="e">
        <f t="shared" si="2"/>
        <v>#N/A</v>
      </c>
      <c r="L22" s="466" t="e">
        <f t="shared" si="3"/>
        <v>#DIV/0!</v>
      </c>
      <c r="M22" s="374">
        <f t="shared" si="4"/>
      </c>
      <c r="Q22" s="699"/>
      <c r="S22" s="14" t="str">
        <f t="shared" si="5"/>
        <v>0</v>
      </c>
    </row>
    <row r="23" spans="2:19" ht="13.5" thickBot="1">
      <c r="B23" s="795"/>
      <c r="C23" s="825"/>
      <c r="D23" s="825"/>
      <c r="E23" s="826"/>
      <c r="F23" s="92">
        <f>IF(E23="",0,VLOOKUP('In-Unit Lighting'!E23,'Interior Lighting'!$I$2:$K$24,3,FALSE))</f>
        <v>0</v>
      </c>
      <c r="G23" s="651" t="e">
        <f>LOOKUP(E23,'Interior Lighting'!$I$2:$I$24,'Interior Lighting'!$J$2:$J$24)*LOOKUP(LOOKUP(E23,'Interior Lighting'!$I$2:$I$24,'Interior Lighting'!$L$2:$L$24),'Interior Lighting'!$AF$2:$AF$17,'Interior Lighting'!$AJ$2:$AJ$17)*LOOKUP(LOOKUP(E23,'Interior Lighting'!$I$2:$I$24,'Interior Lighting'!$L$2:$L$24),'Interior Lighting'!$AF$2:$AF$17,'Interior Lighting'!AH12:AH27)</f>
        <v>#N/A</v>
      </c>
      <c r="H23" s="825"/>
      <c r="I23" s="465">
        <f t="shared" si="0"/>
        <v>0</v>
      </c>
      <c r="J23" s="466">
        <f t="shared" si="1"/>
        <v>0</v>
      </c>
      <c r="K23" s="652" t="e">
        <f t="shared" si="2"/>
        <v>#N/A</v>
      </c>
      <c r="L23" s="466" t="e">
        <f t="shared" si="3"/>
        <v>#DIV/0!</v>
      </c>
      <c r="M23" s="374">
        <f t="shared" si="4"/>
      </c>
      <c r="Q23" s="699"/>
      <c r="S23" s="14" t="str">
        <f t="shared" si="5"/>
        <v>0</v>
      </c>
    </row>
    <row r="24" spans="2:19" ht="13.5" thickBot="1">
      <c r="B24" s="795"/>
      <c r="C24" s="825"/>
      <c r="D24" s="825"/>
      <c r="E24" s="826"/>
      <c r="F24" s="92">
        <f>IF(E24="",0,VLOOKUP('In-Unit Lighting'!E24,'Interior Lighting'!$I$2:$K$24,3,FALSE))</f>
        <v>0</v>
      </c>
      <c r="G24" s="651" t="e">
        <f>LOOKUP(E24,'Interior Lighting'!$I$2:$I$24,'Interior Lighting'!$J$2:$J$24)*LOOKUP(LOOKUP(E24,'Interior Lighting'!$I$2:$I$24,'Interior Lighting'!$L$2:$L$24),'Interior Lighting'!$AF$2:$AF$17,'Interior Lighting'!$AJ$2:$AJ$17)*LOOKUP(LOOKUP(E24,'Interior Lighting'!$I$2:$I$24,'Interior Lighting'!$L$2:$L$24),'Interior Lighting'!$AF$2:$AF$17,'Interior Lighting'!AH13:AH28)</f>
        <v>#N/A</v>
      </c>
      <c r="H24" s="825"/>
      <c r="I24" s="465">
        <f t="shared" si="0"/>
        <v>0</v>
      </c>
      <c r="J24" s="466">
        <f t="shared" si="1"/>
        <v>0</v>
      </c>
      <c r="K24" s="652" t="e">
        <f t="shared" si="2"/>
        <v>#N/A</v>
      </c>
      <c r="L24" s="466" t="e">
        <f t="shared" si="3"/>
        <v>#DIV/0!</v>
      </c>
      <c r="M24" s="374">
        <f t="shared" si="4"/>
      </c>
      <c r="Q24" s="699"/>
      <c r="S24" s="14" t="str">
        <f t="shared" si="5"/>
        <v>0</v>
      </c>
    </row>
    <row r="25" spans="2:19" ht="13.5" thickBot="1">
      <c r="B25" s="795"/>
      <c r="C25" s="825"/>
      <c r="D25" s="825"/>
      <c r="E25" s="826"/>
      <c r="F25" s="92">
        <f>IF(E25="",0,VLOOKUP('In-Unit Lighting'!E25,'Interior Lighting'!$I$2:$K$24,3,FALSE))</f>
        <v>0</v>
      </c>
      <c r="G25" s="651" t="e">
        <f>LOOKUP(E25,'Interior Lighting'!$I$2:$I$24,'Interior Lighting'!$J$2:$J$24)*LOOKUP(LOOKUP(E25,'Interior Lighting'!$I$2:$I$24,'Interior Lighting'!$L$2:$L$24),'Interior Lighting'!$AF$2:$AF$17,'Interior Lighting'!$AJ$2:$AJ$17)*LOOKUP(LOOKUP(E25,'Interior Lighting'!$I$2:$I$24,'Interior Lighting'!$L$2:$L$24),'Interior Lighting'!$AF$2:$AF$17,'Interior Lighting'!AH14:AH29)</f>
        <v>#N/A</v>
      </c>
      <c r="H25" s="825"/>
      <c r="I25" s="465">
        <f aca="true" t="shared" si="6" ref="I25:I41">C25*H25</f>
        <v>0</v>
      </c>
      <c r="J25" s="466">
        <f t="shared" si="1"/>
        <v>0</v>
      </c>
      <c r="K25" s="652" t="e">
        <f aca="true" t="shared" si="7" ref="K25:K41">IF(G25&gt;0,(D25*F25)*G25/C25,"0.0")</f>
        <v>#N/A</v>
      </c>
      <c r="L25" s="466" t="e">
        <f t="shared" si="3"/>
        <v>#DIV/0!</v>
      </c>
      <c r="M25" s="374">
        <f t="shared" si="4"/>
      </c>
      <c r="Q25" s="699"/>
      <c r="S25" s="14" t="str">
        <f t="shared" si="5"/>
        <v>0</v>
      </c>
    </row>
    <row r="26" spans="2:19" ht="13.5" thickBot="1">
      <c r="B26" s="795"/>
      <c r="C26" s="825"/>
      <c r="D26" s="825"/>
      <c r="E26" s="826"/>
      <c r="F26" s="92">
        <f>IF(E26="",0,VLOOKUP('In-Unit Lighting'!E26,'Interior Lighting'!$I$2:$K$24,3,FALSE))</f>
        <v>0</v>
      </c>
      <c r="G26" s="651" t="e">
        <f>LOOKUP(E26,'Interior Lighting'!$I$2:$I$24,'Interior Lighting'!$J$2:$J$24)*LOOKUP(LOOKUP(E26,'Interior Lighting'!$I$2:$I$24,'Interior Lighting'!$L$2:$L$24),'Interior Lighting'!$AF$2:$AF$17,'Interior Lighting'!$AJ$2:$AJ$17)*LOOKUP(LOOKUP(E26,'Interior Lighting'!$I$2:$I$24,'Interior Lighting'!$L$2:$L$24),'Interior Lighting'!$AF$2:$AF$17,'Interior Lighting'!AH15:AH30)</f>
        <v>#N/A</v>
      </c>
      <c r="H26" s="825"/>
      <c r="I26" s="465">
        <f t="shared" si="6"/>
        <v>0</v>
      </c>
      <c r="J26" s="466">
        <f t="shared" si="1"/>
        <v>0</v>
      </c>
      <c r="K26" s="652" t="e">
        <f t="shared" si="7"/>
        <v>#N/A</v>
      </c>
      <c r="L26" s="466" t="e">
        <f t="shared" si="3"/>
        <v>#DIV/0!</v>
      </c>
      <c r="M26" s="374">
        <f t="shared" si="4"/>
      </c>
      <c r="Q26" s="699"/>
      <c r="S26" s="14" t="str">
        <f t="shared" si="5"/>
        <v>0</v>
      </c>
    </row>
    <row r="27" spans="2:19" ht="13.5" thickBot="1">
      <c r="B27" s="795"/>
      <c r="C27" s="825"/>
      <c r="D27" s="825"/>
      <c r="E27" s="826"/>
      <c r="F27" s="92">
        <f>IF(E27="",0,VLOOKUP('In-Unit Lighting'!E27,'Interior Lighting'!$I$2:$K$24,3,FALSE))</f>
        <v>0</v>
      </c>
      <c r="G27" s="651" t="e">
        <f>LOOKUP(E27,'Interior Lighting'!$I$2:$I$24,'Interior Lighting'!$J$2:$J$24)*LOOKUP(LOOKUP(E27,'Interior Lighting'!$I$2:$I$24,'Interior Lighting'!$L$2:$L$24),'Interior Lighting'!$AF$2:$AF$17,'Interior Lighting'!$AJ$2:$AJ$17)*LOOKUP(LOOKUP(E27,'Interior Lighting'!$I$2:$I$24,'Interior Lighting'!$L$2:$L$24),'Interior Lighting'!$AF$2:$AF$17,'Interior Lighting'!AH16:AH31)</f>
        <v>#N/A</v>
      </c>
      <c r="H27" s="825"/>
      <c r="I27" s="465">
        <f t="shared" si="6"/>
        <v>0</v>
      </c>
      <c r="J27" s="466">
        <f t="shared" si="1"/>
        <v>0</v>
      </c>
      <c r="K27" s="652" t="e">
        <f t="shared" si="7"/>
        <v>#N/A</v>
      </c>
      <c r="L27" s="466" t="e">
        <f t="shared" si="3"/>
        <v>#DIV/0!</v>
      </c>
      <c r="M27" s="374">
        <f t="shared" si="4"/>
      </c>
      <c r="Q27" s="699"/>
      <c r="S27" s="14" t="str">
        <f t="shared" si="5"/>
        <v>0</v>
      </c>
    </row>
    <row r="28" spans="2:19" ht="13.5" thickBot="1">
      <c r="B28" s="795"/>
      <c r="C28" s="825"/>
      <c r="D28" s="825"/>
      <c r="E28" s="826"/>
      <c r="F28" s="92">
        <f>IF(E28="",0,VLOOKUP('In-Unit Lighting'!E28,'Interior Lighting'!$I$2:$K$24,3,FALSE))</f>
        <v>0</v>
      </c>
      <c r="G28" s="651" t="e">
        <f>LOOKUP(E28,'Interior Lighting'!$I$2:$I$24,'Interior Lighting'!$J$2:$J$24)*LOOKUP(LOOKUP(E28,'Interior Lighting'!$I$2:$I$24,'Interior Lighting'!$L$2:$L$24),'Interior Lighting'!$AF$2:$AF$17,'Interior Lighting'!$AJ$2:$AJ$17)*LOOKUP(LOOKUP(E28,'Interior Lighting'!$I$2:$I$24,'Interior Lighting'!$L$2:$L$24),'Interior Lighting'!$AF$2:$AF$17,'Interior Lighting'!AH17:AH32)</f>
        <v>#N/A</v>
      </c>
      <c r="H28" s="825"/>
      <c r="I28" s="465">
        <f t="shared" si="6"/>
        <v>0</v>
      </c>
      <c r="J28" s="466">
        <f t="shared" si="1"/>
        <v>0</v>
      </c>
      <c r="K28" s="652" t="e">
        <f t="shared" si="7"/>
        <v>#N/A</v>
      </c>
      <c r="L28" s="466" t="e">
        <f t="shared" si="3"/>
        <v>#DIV/0!</v>
      </c>
      <c r="M28" s="374">
        <f t="shared" si="4"/>
      </c>
      <c r="Q28" s="699"/>
      <c r="S28" s="14" t="str">
        <f t="shared" si="5"/>
        <v>0</v>
      </c>
    </row>
    <row r="29" spans="2:19" ht="13.5" thickBot="1">
      <c r="B29" s="795"/>
      <c r="C29" s="825"/>
      <c r="D29" s="825"/>
      <c r="E29" s="826"/>
      <c r="F29" s="92">
        <f>IF(E29="",0,VLOOKUP('In-Unit Lighting'!E29,'Interior Lighting'!$I$2:$K$24,3,FALSE))</f>
        <v>0</v>
      </c>
      <c r="G29" s="651" t="e">
        <f>LOOKUP(E29,'Interior Lighting'!$I$2:$I$24,'Interior Lighting'!$J$2:$J$24)*LOOKUP(LOOKUP(E29,'Interior Lighting'!$I$2:$I$24,'Interior Lighting'!$L$2:$L$24),'Interior Lighting'!$AF$2:$AF$17,'Interior Lighting'!$AJ$2:$AJ$17)*LOOKUP(LOOKUP(E29,'Interior Lighting'!$I$2:$I$24,'Interior Lighting'!$L$2:$L$24),'Interior Lighting'!$AF$2:$AF$17,'Interior Lighting'!AH18:AH33)</f>
        <v>#N/A</v>
      </c>
      <c r="H29" s="825"/>
      <c r="I29" s="465">
        <f t="shared" si="6"/>
        <v>0</v>
      </c>
      <c r="J29" s="466">
        <f t="shared" si="1"/>
        <v>0</v>
      </c>
      <c r="K29" s="652" t="e">
        <f t="shared" si="7"/>
        <v>#N/A</v>
      </c>
      <c r="L29" s="466" t="e">
        <f t="shared" si="3"/>
        <v>#DIV/0!</v>
      </c>
      <c r="M29" s="374">
        <f t="shared" si="4"/>
      </c>
      <c r="Q29" s="699"/>
      <c r="S29" s="14" t="str">
        <f t="shared" si="5"/>
        <v>0</v>
      </c>
    </row>
    <row r="30" spans="2:19" ht="13.5" thickBot="1">
      <c r="B30" s="795"/>
      <c r="C30" s="825"/>
      <c r="D30" s="825"/>
      <c r="E30" s="826"/>
      <c r="F30" s="92">
        <f>IF(E30="",0,VLOOKUP('In-Unit Lighting'!E30,'Interior Lighting'!$I$2:$K$24,3,FALSE))</f>
        <v>0</v>
      </c>
      <c r="G30" s="651" t="e">
        <f>LOOKUP(E30,'Interior Lighting'!$I$2:$I$24,'Interior Lighting'!$J$2:$J$24)*LOOKUP(LOOKUP(E30,'Interior Lighting'!$I$2:$I$24,'Interior Lighting'!$L$2:$L$24),'Interior Lighting'!$AF$2:$AF$17,'Interior Lighting'!$AJ$2:$AJ$17)*LOOKUP(LOOKUP(E30,'Interior Lighting'!$I$2:$I$24,'Interior Lighting'!$L$2:$L$24),'Interior Lighting'!$AF$2:$AF$17,'Interior Lighting'!AH19:AH34)</f>
        <v>#N/A</v>
      </c>
      <c r="H30" s="825"/>
      <c r="I30" s="465">
        <f t="shared" si="6"/>
        <v>0</v>
      </c>
      <c r="J30" s="466">
        <f t="shared" si="1"/>
        <v>0</v>
      </c>
      <c r="K30" s="652" t="e">
        <f t="shared" si="7"/>
        <v>#N/A</v>
      </c>
      <c r="L30" s="466" t="e">
        <f t="shared" si="3"/>
        <v>#DIV/0!</v>
      </c>
      <c r="M30" s="374">
        <f t="shared" si="4"/>
      </c>
      <c r="Q30" s="699"/>
      <c r="S30" s="14" t="str">
        <f t="shared" si="5"/>
        <v>0</v>
      </c>
    </row>
    <row r="31" spans="2:19" ht="13.5" thickBot="1">
      <c r="B31" s="795"/>
      <c r="C31" s="825"/>
      <c r="D31" s="825"/>
      <c r="E31" s="826"/>
      <c r="F31" s="92">
        <f>IF(E31="",0,VLOOKUP('In-Unit Lighting'!E31,'Interior Lighting'!$I$2:$K$24,3,FALSE))</f>
        <v>0</v>
      </c>
      <c r="G31" s="651" t="e">
        <f>LOOKUP(E31,'Interior Lighting'!$I$2:$I$24,'Interior Lighting'!$J$2:$J$24)*LOOKUP(LOOKUP(E31,'Interior Lighting'!$I$2:$I$24,'Interior Lighting'!$L$2:$L$24),'Interior Lighting'!$AF$2:$AF$17,'Interior Lighting'!$AJ$2:$AJ$17)*LOOKUP(LOOKUP(E31,'Interior Lighting'!$I$2:$I$24,'Interior Lighting'!$L$2:$L$24),'Interior Lighting'!$AF$2:$AF$17,'Interior Lighting'!AH20:AH35)</f>
        <v>#N/A</v>
      </c>
      <c r="H31" s="825"/>
      <c r="I31" s="465">
        <f t="shared" si="6"/>
        <v>0</v>
      </c>
      <c r="J31" s="466">
        <f t="shared" si="1"/>
        <v>0</v>
      </c>
      <c r="K31" s="652" t="e">
        <f t="shared" si="7"/>
        <v>#N/A</v>
      </c>
      <c r="L31" s="466" t="e">
        <f t="shared" si="3"/>
        <v>#DIV/0!</v>
      </c>
      <c r="M31" s="374">
        <f t="shared" si="4"/>
      </c>
      <c r="Q31" s="699"/>
      <c r="S31" s="14" t="str">
        <f t="shared" si="5"/>
        <v>0</v>
      </c>
    </row>
    <row r="32" spans="2:19" ht="13.5" thickBot="1">
      <c r="B32" s="795"/>
      <c r="C32" s="825"/>
      <c r="D32" s="825"/>
      <c r="E32" s="826"/>
      <c r="F32" s="92">
        <f>IF(E32="",0,VLOOKUP('In-Unit Lighting'!E32,'Interior Lighting'!$I$2:$K$24,3,FALSE))</f>
        <v>0</v>
      </c>
      <c r="G32" s="651" t="e">
        <f>LOOKUP(E32,'Interior Lighting'!$I$2:$I$24,'Interior Lighting'!$J$2:$J$24)*LOOKUP(LOOKUP(E32,'Interior Lighting'!$I$2:$I$24,'Interior Lighting'!$L$2:$L$24),'Interior Lighting'!$AF$2:$AF$17,'Interior Lighting'!$AJ$2:$AJ$17)*LOOKUP(LOOKUP(E32,'Interior Lighting'!$I$2:$I$24,'Interior Lighting'!$L$2:$L$24),'Interior Lighting'!$AF$2:$AF$17,'Interior Lighting'!AH21:AH36)</f>
        <v>#N/A</v>
      </c>
      <c r="H32" s="825"/>
      <c r="I32" s="465">
        <f t="shared" si="6"/>
        <v>0</v>
      </c>
      <c r="J32" s="466">
        <f t="shared" si="1"/>
        <v>0</v>
      </c>
      <c r="K32" s="652" t="e">
        <f t="shared" si="7"/>
        <v>#N/A</v>
      </c>
      <c r="L32" s="466" t="e">
        <f t="shared" si="3"/>
        <v>#DIV/0!</v>
      </c>
      <c r="M32" s="374">
        <f t="shared" si="4"/>
      </c>
      <c r="Q32" s="699"/>
      <c r="S32" s="14" t="str">
        <f t="shared" si="5"/>
        <v>0</v>
      </c>
    </row>
    <row r="33" spans="2:19" ht="13.5" thickBot="1">
      <c r="B33" s="795"/>
      <c r="C33" s="825"/>
      <c r="D33" s="825"/>
      <c r="E33" s="826"/>
      <c r="F33" s="92">
        <f>IF(E33="",0,VLOOKUP('In-Unit Lighting'!E33,'Interior Lighting'!$I$2:$K$24,3,FALSE))</f>
        <v>0</v>
      </c>
      <c r="G33" s="651" t="e">
        <f>LOOKUP(E33,'Interior Lighting'!$I$2:$I$24,'Interior Lighting'!$J$2:$J$24)*LOOKUP(LOOKUP(E33,'Interior Lighting'!$I$2:$I$24,'Interior Lighting'!$L$2:$L$24),'Interior Lighting'!$AF$2:$AF$17,'Interior Lighting'!$AJ$2:$AJ$17)*LOOKUP(LOOKUP(E33,'Interior Lighting'!$I$2:$I$24,'Interior Lighting'!$L$2:$L$24),'Interior Lighting'!$AF$2:$AF$17,'Interior Lighting'!AH22:AH37)</f>
        <v>#N/A</v>
      </c>
      <c r="H33" s="825"/>
      <c r="I33" s="465">
        <f t="shared" si="6"/>
        <v>0</v>
      </c>
      <c r="J33" s="466">
        <f t="shared" si="1"/>
        <v>0</v>
      </c>
      <c r="K33" s="652" t="e">
        <f t="shared" si="7"/>
        <v>#N/A</v>
      </c>
      <c r="L33" s="466" t="e">
        <f t="shared" si="3"/>
        <v>#DIV/0!</v>
      </c>
      <c r="M33" s="374">
        <f t="shared" si="4"/>
      </c>
      <c r="P33" s="700"/>
      <c r="Q33" s="699"/>
      <c r="S33" s="14" t="str">
        <f t="shared" si="5"/>
        <v>0</v>
      </c>
    </row>
    <row r="34" spans="2:19" ht="13.5" thickBot="1">
      <c r="B34" s="795"/>
      <c r="C34" s="825"/>
      <c r="D34" s="825"/>
      <c r="E34" s="826"/>
      <c r="F34" s="92">
        <f>IF(E34="",0,VLOOKUP('In-Unit Lighting'!E34,'Interior Lighting'!$I$2:$K$24,3,FALSE))</f>
        <v>0</v>
      </c>
      <c r="G34" s="651" t="e">
        <f>LOOKUP(E34,'Interior Lighting'!$I$2:$I$24,'Interior Lighting'!$J$2:$J$24)*LOOKUP(LOOKUP(E34,'Interior Lighting'!$I$2:$I$24,'Interior Lighting'!$L$2:$L$24),'Interior Lighting'!$AF$2:$AF$17,'Interior Lighting'!$AJ$2:$AJ$17)*LOOKUP(LOOKUP(E34,'Interior Lighting'!$I$2:$I$24,'Interior Lighting'!$L$2:$L$24),'Interior Lighting'!$AF$2:$AF$17,'Interior Lighting'!AH23:AH38)</f>
        <v>#N/A</v>
      </c>
      <c r="H34" s="825"/>
      <c r="I34" s="465">
        <f t="shared" si="6"/>
        <v>0</v>
      </c>
      <c r="J34" s="466">
        <f t="shared" si="1"/>
        <v>0</v>
      </c>
      <c r="K34" s="652" t="e">
        <f t="shared" si="7"/>
        <v>#N/A</v>
      </c>
      <c r="L34" s="466" t="e">
        <f t="shared" si="3"/>
        <v>#DIV/0!</v>
      </c>
      <c r="M34" s="374">
        <f t="shared" si="4"/>
      </c>
      <c r="Q34" s="699"/>
      <c r="S34" s="14" t="str">
        <f t="shared" si="5"/>
        <v>0</v>
      </c>
    </row>
    <row r="35" spans="2:19" ht="13.5" thickBot="1">
      <c r="B35" s="795"/>
      <c r="C35" s="825"/>
      <c r="D35" s="825"/>
      <c r="E35" s="826"/>
      <c r="F35" s="92">
        <f>IF(E35="",0,VLOOKUP('In-Unit Lighting'!E35,'Interior Lighting'!$I$2:$K$24,3,FALSE))</f>
        <v>0</v>
      </c>
      <c r="G35" s="651" t="e">
        <f>LOOKUP(E35,'Interior Lighting'!$I$2:$I$24,'Interior Lighting'!$J$2:$J$24)*LOOKUP(LOOKUP(E35,'Interior Lighting'!$I$2:$I$24,'Interior Lighting'!$L$2:$L$24),'Interior Lighting'!$AF$2:$AF$17,'Interior Lighting'!$AJ$2:$AJ$17)*LOOKUP(LOOKUP(E35,'Interior Lighting'!$I$2:$I$24,'Interior Lighting'!$L$2:$L$24),'Interior Lighting'!$AF$2:$AF$17,'Interior Lighting'!AH24:AH39)</f>
        <v>#N/A</v>
      </c>
      <c r="H35" s="825"/>
      <c r="I35" s="465">
        <f t="shared" si="6"/>
        <v>0</v>
      </c>
      <c r="J35" s="466">
        <f t="shared" si="1"/>
        <v>0</v>
      </c>
      <c r="K35" s="652" t="e">
        <f t="shared" si="7"/>
        <v>#N/A</v>
      </c>
      <c r="L35" s="466" t="e">
        <f t="shared" si="3"/>
        <v>#DIV/0!</v>
      </c>
      <c r="M35" s="374">
        <f t="shared" si="4"/>
      </c>
      <c r="Q35" s="699"/>
      <c r="S35" s="14" t="str">
        <f t="shared" si="5"/>
        <v>0</v>
      </c>
    </row>
    <row r="36" spans="2:19" ht="13.5" thickBot="1">
      <c r="B36" s="795"/>
      <c r="C36" s="825"/>
      <c r="D36" s="825"/>
      <c r="E36" s="826"/>
      <c r="F36" s="92">
        <f>IF(E36="",0,VLOOKUP('In-Unit Lighting'!E36,'Interior Lighting'!$I$2:$K$24,3,FALSE))</f>
        <v>0</v>
      </c>
      <c r="G36" s="651" t="e">
        <f>LOOKUP(E36,'Interior Lighting'!$I$2:$I$24,'Interior Lighting'!$J$2:$J$24)*LOOKUP(LOOKUP(E36,'Interior Lighting'!$I$2:$I$24,'Interior Lighting'!$L$2:$L$24),'Interior Lighting'!$AF$2:$AF$17,'Interior Lighting'!$AJ$2:$AJ$17)*LOOKUP(LOOKUP(E36,'Interior Lighting'!$I$2:$I$24,'Interior Lighting'!$L$2:$L$24),'Interior Lighting'!$AF$2:$AF$17,'Interior Lighting'!AH25:AH40)</f>
        <v>#N/A</v>
      </c>
      <c r="H36" s="825"/>
      <c r="I36" s="465">
        <f t="shared" si="6"/>
        <v>0</v>
      </c>
      <c r="J36" s="466">
        <f t="shared" si="1"/>
        <v>0</v>
      </c>
      <c r="K36" s="652" t="e">
        <f t="shared" si="7"/>
        <v>#N/A</v>
      </c>
      <c r="L36" s="466" t="e">
        <f t="shared" si="3"/>
        <v>#DIV/0!</v>
      </c>
      <c r="M36" s="374">
        <f t="shared" si="4"/>
      </c>
      <c r="Q36" s="699"/>
      <c r="S36" s="14" t="str">
        <f t="shared" si="5"/>
        <v>0</v>
      </c>
    </row>
    <row r="37" spans="2:19" ht="13.5" thickBot="1">
      <c r="B37" s="795"/>
      <c r="C37" s="825"/>
      <c r="D37" s="825"/>
      <c r="E37" s="826"/>
      <c r="F37" s="92">
        <f>IF(E37="",0,VLOOKUP('In-Unit Lighting'!E37,'Interior Lighting'!$I$2:$K$24,3,FALSE))</f>
        <v>0</v>
      </c>
      <c r="G37" s="651" t="e">
        <f>LOOKUP(E37,'Interior Lighting'!$I$2:$I$24,'Interior Lighting'!$J$2:$J$24)*LOOKUP(LOOKUP(E37,'Interior Lighting'!$I$2:$I$24,'Interior Lighting'!$L$2:$L$24),'Interior Lighting'!$AF$2:$AF$17,'Interior Lighting'!$AJ$2:$AJ$17)*LOOKUP(LOOKUP(E37,'Interior Lighting'!$I$2:$I$24,'Interior Lighting'!$L$2:$L$24),'Interior Lighting'!$AF$2:$AF$17,'Interior Lighting'!AH26:AH41)</f>
        <v>#N/A</v>
      </c>
      <c r="H37" s="825"/>
      <c r="I37" s="465">
        <f t="shared" si="6"/>
        <v>0</v>
      </c>
      <c r="J37" s="466">
        <f t="shared" si="1"/>
        <v>0</v>
      </c>
      <c r="K37" s="652" t="e">
        <f t="shared" si="7"/>
        <v>#N/A</v>
      </c>
      <c r="L37" s="466" t="e">
        <f t="shared" si="3"/>
        <v>#DIV/0!</v>
      </c>
      <c r="M37" s="374">
        <f t="shared" si="4"/>
      </c>
      <c r="Q37" s="699"/>
      <c r="S37" s="14" t="str">
        <f t="shared" si="5"/>
        <v>0</v>
      </c>
    </row>
    <row r="38" spans="2:19" ht="13.5" thickBot="1">
      <c r="B38" s="795"/>
      <c r="C38" s="825"/>
      <c r="D38" s="825"/>
      <c r="E38" s="826"/>
      <c r="F38" s="92">
        <f>IF(E38="",0,VLOOKUP('In-Unit Lighting'!E38,'Interior Lighting'!$I$2:$K$24,3,FALSE))</f>
        <v>0</v>
      </c>
      <c r="G38" s="651" t="e">
        <f>LOOKUP(E38,'Interior Lighting'!$I$2:$I$24,'Interior Lighting'!$J$2:$J$24)*LOOKUP(LOOKUP(E38,'Interior Lighting'!$I$2:$I$24,'Interior Lighting'!$L$2:$L$24),'Interior Lighting'!$AF$2:$AF$17,'Interior Lighting'!$AJ$2:$AJ$17)*LOOKUP(LOOKUP(E38,'Interior Lighting'!$I$2:$I$24,'Interior Lighting'!$L$2:$L$24),'Interior Lighting'!$AF$2:$AF$17,'Interior Lighting'!AH27:AH42)</f>
        <v>#N/A</v>
      </c>
      <c r="H38" s="825"/>
      <c r="I38" s="465">
        <f t="shared" si="6"/>
        <v>0</v>
      </c>
      <c r="J38" s="466">
        <f t="shared" si="1"/>
        <v>0</v>
      </c>
      <c r="K38" s="652" t="e">
        <f t="shared" si="7"/>
        <v>#N/A</v>
      </c>
      <c r="L38" s="466" t="e">
        <f t="shared" si="3"/>
        <v>#DIV/0!</v>
      </c>
      <c r="M38" s="374">
        <f t="shared" si="4"/>
      </c>
      <c r="Q38" s="699"/>
      <c r="S38" s="14" t="str">
        <f t="shared" si="5"/>
        <v>0</v>
      </c>
    </row>
    <row r="39" spans="2:19" ht="13.5" thickBot="1">
      <c r="B39" s="795"/>
      <c r="C39" s="825"/>
      <c r="D39" s="825"/>
      <c r="E39" s="826"/>
      <c r="F39" s="92">
        <f>IF(E39="",0,VLOOKUP('In-Unit Lighting'!E39,'Interior Lighting'!$I$2:$K$24,3,FALSE))</f>
        <v>0</v>
      </c>
      <c r="G39" s="651" t="e">
        <f>LOOKUP(E39,'Interior Lighting'!$I$2:$I$24,'Interior Lighting'!$J$2:$J$24)*LOOKUP(LOOKUP(E39,'Interior Lighting'!$I$2:$I$24,'Interior Lighting'!$L$2:$L$24),'Interior Lighting'!$AF$2:$AF$17,'Interior Lighting'!$AJ$2:$AJ$17)*LOOKUP(LOOKUP(E39,'Interior Lighting'!$I$2:$I$24,'Interior Lighting'!$L$2:$L$24),'Interior Lighting'!$AF$2:$AF$17,'Interior Lighting'!AH28:AH43)</f>
        <v>#N/A</v>
      </c>
      <c r="H39" s="825"/>
      <c r="I39" s="465">
        <f t="shared" si="6"/>
        <v>0</v>
      </c>
      <c r="J39" s="466">
        <f t="shared" si="1"/>
        <v>0</v>
      </c>
      <c r="K39" s="652" t="e">
        <f t="shared" si="7"/>
        <v>#N/A</v>
      </c>
      <c r="L39" s="466" t="e">
        <f t="shared" si="3"/>
        <v>#DIV/0!</v>
      </c>
      <c r="M39" s="374">
        <f t="shared" si="4"/>
      </c>
      <c r="Q39" s="699"/>
      <c r="S39" s="14" t="str">
        <f t="shared" si="5"/>
        <v>0</v>
      </c>
    </row>
    <row r="40" spans="2:19" ht="13.5" thickBot="1">
      <c r="B40" s="795"/>
      <c r="C40" s="825"/>
      <c r="D40" s="825"/>
      <c r="E40" s="826"/>
      <c r="F40" s="92">
        <f>IF(E40="",0,VLOOKUP('In-Unit Lighting'!E40,'Interior Lighting'!$I$2:$K$24,3,FALSE))</f>
        <v>0</v>
      </c>
      <c r="G40" s="651" t="e">
        <f>LOOKUP(E40,'Interior Lighting'!$I$2:$I$24,'Interior Lighting'!$J$2:$J$24)*LOOKUP(LOOKUP(E40,'Interior Lighting'!$I$2:$I$24,'Interior Lighting'!$L$2:$L$24),'Interior Lighting'!$AF$2:$AF$17,'Interior Lighting'!$AJ$2:$AJ$17)*LOOKUP(LOOKUP(E40,'Interior Lighting'!$I$2:$I$24,'Interior Lighting'!$L$2:$L$24),'Interior Lighting'!$AF$2:$AF$17,'Interior Lighting'!AH29:AH44)</f>
        <v>#N/A</v>
      </c>
      <c r="H40" s="825"/>
      <c r="I40" s="465">
        <f t="shared" si="6"/>
        <v>0</v>
      </c>
      <c r="J40" s="466">
        <f t="shared" si="1"/>
        <v>0</v>
      </c>
      <c r="K40" s="652" t="e">
        <f t="shared" si="7"/>
        <v>#N/A</v>
      </c>
      <c r="L40" s="466" t="e">
        <f t="shared" si="3"/>
        <v>#DIV/0!</v>
      </c>
      <c r="M40" s="374">
        <f t="shared" si="4"/>
      </c>
      <c r="Q40" s="699"/>
      <c r="S40" s="14" t="str">
        <f t="shared" si="5"/>
        <v>0</v>
      </c>
    </row>
    <row r="41" spans="2:19" ht="13.5" thickBot="1">
      <c r="B41" s="795"/>
      <c r="C41" s="825"/>
      <c r="D41" s="825"/>
      <c r="E41" s="826"/>
      <c r="F41" s="92">
        <f>IF(E41="",0,VLOOKUP('In-Unit Lighting'!E41,'Interior Lighting'!$I$2:$K$24,3,FALSE))</f>
        <v>0</v>
      </c>
      <c r="G41" s="651" t="e">
        <f>LOOKUP(E41,'Interior Lighting'!$I$2:$I$24,'Interior Lighting'!$J$2:$J$24)*LOOKUP(LOOKUP(E41,'Interior Lighting'!$I$2:$I$24,'Interior Lighting'!$L$2:$L$24),'Interior Lighting'!$AF$2:$AF$17,'Interior Lighting'!$AJ$2:$AJ$17)*LOOKUP(LOOKUP(E41,'Interior Lighting'!$I$2:$I$24,'Interior Lighting'!$L$2:$L$24),'Interior Lighting'!$AF$2:$AF$17,'Interior Lighting'!AH30:AH45)</f>
        <v>#N/A</v>
      </c>
      <c r="H41" s="825"/>
      <c r="I41" s="465">
        <f t="shared" si="6"/>
        <v>0</v>
      </c>
      <c r="J41" s="466">
        <f t="shared" si="1"/>
        <v>0</v>
      </c>
      <c r="K41" s="652" t="e">
        <f t="shared" si="7"/>
        <v>#N/A</v>
      </c>
      <c r="L41" s="466" t="e">
        <f t="shared" si="3"/>
        <v>#DIV/0!</v>
      </c>
      <c r="M41" s="374">
        <f t="shared" si="4"/>
      </c>
      <c r="Q41" s="699"/>
      <c r="S41" s="14" t="str">
        <f t="shared" si="5"/>
        <v>0</v>
      </c>
    </row>
    <row r="42" ht="12.75">
      <c r="H42" s="467"/>
    </row>
    <row r="43" spans="2:8" ht="13.5" thickBot="1">
      <c r="B43" s="383" t="s">
        <v>246</v>
      </c>
      <c r="C43" s="468"/>
      <c r="D43" s="468"/>
      <c r="E43" s="468"/>
      <c r="F43" s="384"/>
      <c r="G43" s="469"/>
      <c r="H43" s="470"/>
    </row>
    <row r="44" spans="2:9" ht="13.5" thickBot="1">
      <c r="B44" s="1341" t="s">
        <v>247</v>
      </c>
      <c r="C44" s="1341"/>
      <c r="D44" s="1341"/>
      <c r="E44" s="1341"/>
      <c r="F44" s="471">
        <f>SUM(I13:I41)</f>
        <v>0</v>
      </c>
      <c r="G44" s="472"/>
      <c r="H44" s="781" t="e">
        <f>SUM(S13:S41)/F44</f>
        <v>#DIV/0!</v>
      </c>
      <c r="I44" s="551" t="s">
        <v>1014</v>
      </c>
    </row>
    <row r="45" spans="2:8" ht="13.5" thickBot="1">
      <c r="B45" s="1341" t="s">
        <v>248</v>
      </c>
      <c r="C45" s="1341"/>
      <c r="D45" s="1341"/>
      <c r="E45" s="1341"/>
      <c r="F45" s="471">
        <f>SUM(J13:J41)</f>
        <v>0</v>
      </c>
      <c r="G45" s="402"/>
      <c r="H45" s="399"/>
    </row>
    <row r="46" spans="2:6" ht="12.75">
      <c r="B46" s="1341" t="s">
        <v>249</v>
      </c>
      <c r="C46" s="1341"/>
      <c r="D46" s="1341"/>
      <c r="E46" s="1341"/>
      <c r="F46" s="474" t="str">
        <f>IF(F44=0,"NA",F45/F44)</f>
        <v>NA</v>
      </c>
    </row>
    <row r="47" spans="2:6" ht="12.75">
      <c r="B47" s="1340" t="s">
        <v>217</v>
      </c>
      <c r="C47" s="1340"/>
      <c r="D47" s="1340"/>
      <c r="E47" s="1340"/>
      <c r="F47" s="689" t="e">
        <f>(F45+1.1*('Basic Info'!C15-F44))/('Basic Info'!C15)</f>
        <v>#DIV/0!</v>
      </c>
    </row>
    <row r="48" spans="2:6" ht="12.75">
      <c r="B48" s="1340" t="s">
        <v>250</v>
      </c>
      <c r="C48" s="1340"/>
      <c r="D48" s="1340"/>
      <c r="E48" s="1340"/>
      <c r="F48" s="500">
        <f>IF('Interior Lighting'!C16="Prescriptive",0.75,1.1)</f>
        <v>1.1</v>
      </c>
    </row>
    <row r="50" spans="2:4" ht="12.75">
      <c r="B50" s="399"/>
      <c r="C50" s="399"/>
      <c r="D50" s="399"/>
    </row>
    <row r="60" ht="12.75" hidden="1">
      <c r="B60" s="701" t="s">
        <v>251</v>
      </c>
    </row>
    <row r="61" ht="12.75" hidden="1">
      <c r="B61" s="702" t="s">
        <v>252</v>
      </c>
    </row>
    <row r="62" ht="12.75" hidden="1">
      <c r="B62" s="702" t="s">
        <v>253</v>
      </c>
    </row>
    <row r="63" ht="12.75" hidden="1">
      <c r="B63" s="702" t="s">
        <v>254</v>
      </c>
    </row>
    <row r="64" ht="12.75" hidden="1">
      <c r="B64" s="702" t="s">
        <v>255</v>
      </c>
    </row>
    <row r="65" ht="12.75" hidden="1">
      <c r="B65" s="702" t="s">
        <v>256</v>
      </c>
    </row>
    <row r="66" ht="12.75" hidden="1">
      <c r="B66" s="702" t="s">
        <v>257</v>
      </c>
    </row>
    <row r="67" ht="12.75" hidden="1">
      <c r="B67" s="702" t="s">
        <v>258</v>
      </c>
    </row>
    <row r="68" ht="12.75" hidden="1">
      <c r="B68" s="702" t="s">
        <v>259</v>
      </c>
    </row>
    <row r="69" ht="12.75" hidden="1">
      <c r="B69" s="702" t="s">
        <v>260</v>
      </c>
    </row>
    <row r="70" ht="12.75" hidden="1">
      <c r="B70" s="702" t="s">
        <v>261</v>
      </c>
    </row>
    <row r="71" ht="12.75" hidden="1">
      <c r="B71" s="702" t="s">
        <v>299</v>
      </c>
    </row>
  </sheetData>
  <sheetProtection sheet="1" formatCells="0" insertColumns="0" insertRows="0"/>
  <mergeCells count="10">
    <mergeCell ref="B2:L2"/>
    <mergeCell ref="B6:L6"/>
    <mergeCell ref="B3:L3"/>
    <mergeCell ref="B4:L4"/>
    <mergeCell ref="B5:L5"/>
    <mergeCell ref="B48:E48"/>
    <mergeCell ref="B47:E47"/>
    <mergeCell ref="B44:E44"/>
    <mergeCell ref="B45:E45"/>
    <mergeCell ref="B46:E46"/>
  </mergeCells>
  <conditionalFormatting sqref="K13:K41">
    <cfRule type="cellIs" priority="5" dxfId="0" operator="lessThan" stopIfTrue="1">
      <formula>10</formula>
    </cfRule>
  </conditionalFormatting>
  <conditionalFormatting sqref="H44">
    <cfRule type="cellIs" priority="1" dxfId="12" operator="lessThan" stopIfTrue="1">
      <formula>11</formula>
    </cfRule>
    <cfRule type="expression" priority="2" dxfId="12" stopIfTrue="1">
      <formula>"&lt;10"</formula>
    </cfRule>
  </conditionalFormatting>
  <dataValidations count="1">
    <dataValidation type="list" allowBlank="1" showInputMessage="1" showErrorMessage="1" sqref="B72 B13:B41">
      <formula1>$B$61:$B$71</formula1>
    </dataValidation>
  </dataValidation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60"/>
  </sheetPr>
  <dimension ref="A1:AM841"/>
  <sheetViews>
    <sheetView showGridLines="0" zoomScale="80" zoomScaleNormal="80" zoomScalePageLayoutView="0" workbookViewId="0" topLeftCell="A1">
      <pane ySplit="27" topLeftCell="A28" activePane="bottomLeft" state="frozen"/>
      <selection pane="topLeft" activeCell="C7" sqref="C7"/>
      <selection pane="bottomLeft" activeCell="A1" sqref="A1"/>
    </sheetView>
  </sheetViews>
  <sheetFormatPr defaultColWidth="9.140625" defaultRowHeight="12.75"/>
  <cols>
    <col min="1" max="1" width="8.8515625" style="14" customWidth="1"/>
    <col min="2" max="2" width="14.28125" style="14" customWidth="1"/>
    <col min="3" max="3" width="27.28125" style="475" bestFit="1" customWidth="1"/>
    <col min="4" max="4" width="30.8515625" style="476" customWidth="1"/>
    <col min="5" max="5" width="9.00390625" style="459" customWidth="1"/>
    <col min="6" max="6" width="13.8515625" style="459" customWidth="1"/>
    <col min="7" max="7" width="11.28125" style="459" customWidth="1"/>
    <col min="8" max="8" width="18.28125" style="459" customWidth="1"/>
    <col min="9" max="9" width="9.140625" style="459" customWidth="1"/>
    <col min="10" max="10" width="16.57421875" style="459" bestFit="1" customWidth="1"/>
    <col min="11" max="11" width="8.57421875" style="14" customWidth="1"/>
    <col min="12" max="12" width="25.7109375" style="14" bestFit="1" customWidth="1"/>
    <col min="13" max="14" width="13.140625" style="14" customWidth="1"/>
    <col min="15" max="15" width="13.00390625" style="14" customWidth="1"/>
    <col min="16" max="16" width="13.421875" style="14" bestFit="1" customWidth="1"/>
    <col min="17" max="17" width="15.7109375" style="14" customWidth="1"/>
    <col min="18" max="18" width="14.421875" style="14" customWidth="1"/>
    <col min="19" max="19" width="9.28125" style="14" customWidth="1"/>
    <col min="20" max="20" width="20.140625" style="14" bestFit="1" customWidth="1"/>
    <col min="21" max="21" width="30.7109375" style="14" hidden="1" customWidth="1"/>
    <col min="22" max="22" width="14.8515625" style="14" hidden="1" customWidth="1"/>
    <col min="23" max="23" width="30.7109375" style="14" hidden="1" customWidth="1"/>
    <col min="24" max="25" width="11.57421875" style="14" hidden="1" customWidth="1"/>
    <col min="26" max="28" width="12.7109375" style="14" hidden="1" customWidth="1"/>
    <col min="29" max="29" width="12.00390625" style="14" hidden="1" customWidth="1"/>
    <col min="30" max="30" width="5.00390625" style="14" hidden="1" customWidth="1"/>
    <col min="31" max="31" width="10.7109375" style="14" hidden="1" customWidth="1"/>
    <col min="32" max="32" width="32.8515625" style="14" hidden="1" customWidth="1"/>
    <col min="33" max="33" width="12.7109375" style="14" hidden="1" customWidth="1"/>
    <col min="34" max="35" width="12.421875" style="14" hidden="1" customWidth="1"/>
    <col min="36" max="36" width="5.57421875" style="14" hidden="1" customWidth="1"/>
    <col min="37" max="37" width="6.57421875" style="14" hidden="1" customWidth="1"/>
    <col min="38" max="38" width="17.7109375" style="14" hidden="1" customWidth="1"/>
    <col min="39" max="39" width="7.421875" style="14" customWidth="1"/>
    <col min="40" max="40" width="6.28125" style="14" customWidth="1"/>
    <col min="41" max="41" width="9.140625" style="14" customWidth="1"/>
    <col min="42" max="42" width="36.57421875" style="14" bestFit="1" customWidth="1"/>
    <col min="43" max="43" width="5.8515625" style="14" bestFit="1" customWidth="1"/>
    <col min="44" max="44" width="9.140625" style="14" customWidth="1"/>
    <col min="45" max="46" width="36.57421875" style="14" bestFit="1" customWidth="1"/>
    <col min="47" max="16384" width="9.140625" style="14" customWidth="1"/>
  </cols>
  <sheetData>
    <row r="1" spans="1:39" ht="25.5">
      <c r="A1" s="15" t="s">
        <v>346</v>
      </c>
      <c r="I1" s="599" t="s">
        <v>2</v>
      </c>
      <c r="J1" s="598" t="s">
        <v>890</v>
      </c>
      <c r="K1" s="599" t="s">
        <v>909</v>
      </c>
      <c r="L1" s="614" t="s">
        <v>854</v>
      </c>
      <c r="M1" s="598" t="s">
        <v>1</v>
      </c>
      <c r="N1" s="598" t="s">
        <v>802</v>
      </c>
      <c r="O1" s="597" t="s">
        <v>654</v>
      </c>
      <c r="P1" s="598" t="s">
        <v>289</v>
      </c>
      <c r="Q1" s="667" t="s">
        <v>5</v>
      </c>
      <c r="R1" s="130" t="s">
        <v>839</v>
      </c>
      <c r="U1" s="703"/>
      <c r="W1" s="419"/>
      <c r="X1" s="704" t="s">
        <v>869</v>
      </c>
      <c r="Y1" s="704" t="s">
        <v>870</v>
      </c>
      <c r="Z1" s="704" t="s">
        <v>893</v>
      </c>
      <c r="AA1" s="704" t="s">
        <v>894</v>
      </c>
      <c r="AB1" s="704" t="s">
        <v>1011</v>
      </c>
      <c r="AC1" s="705" t="s">
        <v>868</v>
      </c>
      <c r="AD1" s="706" t="s">
        <v>846</v>
      </c>
      <c r="AF1" s="614" t="s">
        <v>854</v>
      </c>
      <c r="AG1" s="707" t="s">
        <v>848</v>
      </c>
      <c r="AH1" s="707" t="s">
        <v>849</v>
      </c>
      <c r="AI1" s="707" t="s">
        <v>850</v>
      </c>
      <c r="AJ1" s="708" t="s">
        <v>847</v>
      </c>
      <c r="AK1" s="708" t="s">
        <v>851</v>
      </c>
      <c r="AL1" s="598" t="s">
        <v>895</v>
      </c>
      <c r="AM1" s="556"/>
    </row>
    <row r="2" spans="1:38" ht="15">
      <c r="A2" s="549" t="s">
        <v>911</v>
      </c>
      <c r="B2" s="375"/>
      <c r="C2" s="375"/>
      <c r="D2" s="375"/>
      <c r="E2" s="375"/>
      <c r="F2" s="1342" t="s">
        <v>910</v>
      </c>
      <c r="G2" s="1342"/>
      <c r="H2" s="1343"/>
      <c r="I2" s="828"/>
      <c r="J2" s="669" t="e">
        <f aca="true" t="shared" si="0" ref="J2:J24">LOOKUP(L2,$AF$2:$AF$17,$AK$2:$AK$17)</f>
        <v>#N/A</v>
      </c>
      <c r="K2" s="828"/>
      <c r="L2" s="833"/>
      <c r="M2" s="828"/>
      <c r="N2" s="828"/>
      <c r="O2" s="828"/>
      <c r="P2" s="828"/>
      <c r="Q2" s="588" t="e">
        <f aca="true" t="shared" si="1" ref="Q2:Q24">SUMIF($G$28:$G$357,I2,$K$28:$K$357)/K2</f>
        <v>#DIV/0!</v>
      </c>
      <c r="R2" s="382" t="e">
        <f>SUMIF('In-Unit Lighting'!$E$13:$E$64,I2,'In-Unit Lighting'!$J$13:$J$64)/'Interior Lighting'!K2</f>
        <v>#DIV/0!</v>
      </c>
      <c r="U2" s="703" t="s">
        <v>197</v>
      </c>
      <c r="V2" s="551" t="s">
        <v>37</v>
      </c>
      <c r="W2" s="590" t="s">
        <v>871</v>
      </c>
      <c r="X2" s="709">
        <v>1.2</v>
      </c>
      <c r="Y2" s="709">
        <v>1.11</v>
      </c>
      <c r="Z2" s="709">
        <v>0.7</v>
      </c>
      <c r="AA2" s="709">
        <v>0.6</v>
      </c>
      <c r="AB2" s="709">
        <v>1.2</v>
      </c>
      <c r="AC2" s="710">
        <v>30</v>
      </c>
      <c r="AD2" s="591" t="s">
        <v>845</v>
      </c>
      <c r="AF2" s="711" t="s">
        <v>859</v>
      </c>
      <c r="AG2" s="481">
        <v>0.634</v>
      </c>
      <c r="AH2" s="481">
        <v>0.459</v>
      </c>
      <c r="AI2" s="481">
        <v>0.381</v>
      </c>
      <c r="AJ2" s="712">
        <v>0.66</v>
      </c>
      <c r="AK2" s="712">
        <v>58.8</v>
      </c>
      <c r="AL2" s="507">
        <v>521</v>
      </c>
    </row>
    <row r="3" spans="1:38" ht="15">
      <c r="A3" s="551" t="s">
        <v>912</v>
      </c>
      <c r="I3" s="829"/>
      <c r="J3" s="669" t="e">
        <f t="shared" si="0"/>
        <v>#N/A</v>
      </c>
      <c r="K3" s="828"/>
      <c r="L3" s="833"/>
      <c r="M3" s="828"/>
      <c r="N3" s="828"/>
      <c r="O3" s="828"/>
      <c r="P3" s="828"/>
      <c r="Q3" s="588" t="e">
        <f t="shared" si="1"/>
        <v>#DIV/0!</v>
      </c>
      <c r="R3" s="382" t="e">
        <f>SUMIF('In-Unit Lighting'!$E$13:$E$64,I3,'In-Unit Lighting'!$J$13:$J$64)/'Interior Lighting'!K3</f>
        <v>#DIV/0!</v>
      </c>
      <c r="U3" s="703" t="s">
        <v>198</v>
      </c>
      <c r="V3" s="551" t="s">
        <v>797</v>
      </c>
      <c r="W3" s="590" t="s">
        <v>297</v>
      </c>
      <c r="X3" s="419">
        <v>1.3</v>
      </c>
      <c r="Y3" s="419">
        <v>1.23</v>
      </c>
      <c r="Z3" s="419">
        <v>0.7</v>
      </c>
      <c r="AA3" s="419">
        <v>0.6</v>
      </c>
      <c r="AB3" s="419">
        <v>1.4</v>
      </c>
      <c r="AC3" s="507">
        <v>30</v>
      </c>
      <c r="AD3" s="591" t="s">
        <v>845</v>
      </c>
      <c r="AF3" s="711" t="s">
        <v>858</v>
      </c>
      <c r="AG3" s="481">
        <v>0.545</v>
      </c>
      <c r="AH3" s="481">
        <v>0.325</v>
      </c>
      <c r="AI3" s="481">
        <v>0.26</v>
      </c>
      <c r="AJ3" s="712">
        <v>0.61</v>
      </c>
      <c r="AK3" s="712">
        <v>58.8</v>
      </c>
      <c r="AL3" s="507">
        <v>523</v>
      </c>
    </row>
    <row r="4" spans="1:38" ht="15">
      <c r="A4" s="551" t="s">
        <v>913</v>
      </c>
      <c r="I4" s="829"/>
      <c r="J4" s="669" t="e">
        <f t="shared" si="0"/>
        <v>#N/A</v>
      </c>
      <c r="K4" s="828"/>
      <c r="L4" s="833"/>
      <c r="M4" s="828"/>
      <c r="N4" s="828"/>
      <c r="O4" s="828"/>
      <c r="P4" s="828"/>
      <c r="Q4" s="588" t="e">
        <f t="shared" si="1"/>
        <v>#DIV/0!</v>
      </c>
      <c r="R4" s="382" t="e">
        <f>SUMIF('In-Unit Lighting'!$E$13:$E$64,I4,'In-Unit Lighting'!$J$13:$J$64)/'Interior Lighting'!K4</f>
        <v>#DIV/0!</v>
      </c>
      <c r="U4" s="703" t="s">
        <v>199</v>
      </c>
      <c r="V4" s="551" t="s">
        <v>106</v>
      </c>
      <c r="W4" s="590" t="s">
        <v>200</v>
      </c>
      <c r="X4" s="419">
        <v>0.5</v>
      </c>
      <c r="Y4" s="419">
        <v>0.66</v>
      </c>
      <c r="Z4" s="419">
        <v>0.7</v>
      </c>
      <c r="AA4" s="419">
        <v>0.6</v>
      </c>
      <c r="AB4" s="419">
        <v>0.6</v>
      </c>
      <c r="AC4" s="507">
        <v>10</v>
      </c>
      <c r="AD4" s="591" t="s">
        <v>866</v>
      </c>
      <c r="AF4" s="711" t="s">
        <v>856</v>
      </c>
      <c r="AG4" s="589">
        <v>0.53</v>
      </c>
      <c r="AH4" s="589">
        <v>0.315</v>
      </c>
      <c r="AI4" s="589">
        <v>0.255</v>
      </c>
      <c r="AJ4" s="713">
        <v>0.62</v>
      </c>
      <c r="AK4" s="713">
        <v>58.8</v>
      </c>
      <c r="AL4" s="507">
        <v>524</v>
      </c>
    </row>
    <row r="5" spans="1:38" ht="15">
      <c r="A5" s="551" t="s">
        <v>914</v>
      </c>
      <c r="I5" s="829"/>
      <c r="J5" s="669" t="e">
        <f t="shared" si="0"/>
        <v>#N/A</v>
      </c>
      <c r="K5" s="828"/>
      <c r="L5" s="833"/>
      <c r="M5" s="828"/>
      <c r="N5" s="828"/>
      <c r="O5" s="828"/>
      <c r="P5" s="828"/>
      <c r="Q5" s="588" t="e">
        <f t="shared" si="1"/>
        <v>#DIV/0!</v>
      </c>
      <c r="R5" s="382" t="e">
        <f>SUMIF('In-Unit Lighting'!$E$13:$E$64,I5,'In-Unit Lighting'!$J$13:$J$64)/'Interior Lighting'!K5</f>
        <v>#DIV/0!</v>
      </c>
      <c r="U5" s="703" t="s">
        <v>200</v>
      </c>
      <c r="V5" s="551"/>
      <c r="W5" s="590" t="s">
        <v>203</v>
      </c>
      <c r="X5" s="419">
        <v>1.5</v>
      </c>
      <c r="Y5" s="419">
        <v>0.95</v>
      </c>
      <c r="Z5" s="419">
        <v>0.7</v>
      </c>
      <c r="AA5" s="419">
        <v>0.6</v>
      </c>
      <c r="AB5" s="419">
        <v>0.7</v>
      </c>
      <c r="AC5" s="507">
        <v>30</v>
      </c>
      <c r="AD5" s="591" t="s">
        <v>866</v>
      </c>
      <c r="AF5" s="711" t="s">
        <v>852</v>
      </c>
      <c r="AG5" s="481">
        <v>0.82</v>
      </c>
      <c r="AH5" s="481">
        <v>0.51</v>
      </c>
      <c r="AI5" s="481">
        <v>0.41</v>
      </c>
      <c r="AJ5" s="712">
        <v>0.78</v>
      </c>
      <c r="AK5" s="712">
        <v>81.75</v>
      </c>
      <c r="AL5" s="507">
        <v>535</v>
      </c>
    </row>
    <row r="6" spans="1:38" ht="15">
      <c r="A6" s="551" t="s">
        <v>915</v>
      </c>
      <c r="I6" s="829"/>
      <c r="J6" s="669" t="e">
        <f t="shared" si="0"/>
        <v>#N/A</v>
      </c>
      <c r="K6" s="828"/>
      <c r="L6" s="833"/>
      <c r="M6" s="828"/>
      <c r="N6" s="828"/>
      <c r="O6" s="828"/>
      <c r="P6" s="828"/>
      <c r="Q6" s="588" t="e">
        <f t="shared" si="1"/>
        <v>#DIV/0!</v>
      </c>
      <c r="R6" s="382" t="e">
        <f>SUMIF('In-Unit Lighting'!$E$13:$E$64,I6,'In-Unit Lighting'!$J$13:$J$64)/'Interior Lighting'!K6</f>
        <v>#DIV/0!</v>
      </c>
      <c r="U6" s="703" t="s">
        <v>201</v>
      </c>
      <c r="V6" s="551"/>
      <c r="W6" s="590" t="s">
        <v>842</v>
      </c>
      <c r="X6" s="419">
        <v>0.9</v>
      </c>
      <c r="Y6" s="419">
        <v>0.72</v>
      </c>
      <c r="Z6" s="590">
        <v>0.7</v>
      </c>
      <c r="AA6" s="590">
        <v>0.6</v>
      </c>
      <c r="AB6" s="590">
        <v>1</v>
      </c>
      <c r="AC6" s="504">
        <v>30</v>
      </c>
      <c r="AD6" s="591" t="s">
        <v>845</v>
      </c>
      <c r="AF6" s="711" t="s">
        <v>867</v>
      </c>
      <c r="AG6" s="481">
        <v>0.88</v>
      </c>
      <c r="AH6" s="481">
        <v>0.49</v>
      </c>
      <c r="AI6" s="481">
        <v>0.39</v>
      </c>
      <c r="AJ6" s="712">
        <v>0.65</v>
      </c>
      <c r="AK6" s="712">
        <v>81.8</v>
      </c>
      <c r="AL6" s="507">
        <v>538</v>
      </c>
    </row>
    <row r="7" spans="1:38" ht="15">
      <c r="A7" s="551" t="s">
        <v>916</v>
      </c>
      <c r="I7" s="829"/>
      <c r="J7" s="669" t="e">
        <f t="shared" si="0"/>
        <v>#N/A</v>
      </c>
      <c r="K7" s="828"/>
      <c r="L7" s="833"/>
      <c r="M7" s="828"/>
      <c r="N7" s="828"/>
      <c r="O7" s="828"/>
      <c r="P7" s="828"/>
      <c r="Q7" s="588" t="e">
        <f t="shared" si="1"/>
        <v>#DIV/0!</v>
      </c>
      <c r="R7" s="382" t="e">
        <f>SUMIF('In-Unit Lighting'!$E$13:$E$64,I7,'In-Unit Lighting'!$J$13:$J$64)/'Interior Lighting'!K7</f>
        <v>#DIV/0!</v>
      </c>
      <c r="U7" s="703" t="s">
        <v>202</v>
      </c>
      <c r="V7" s="551"/>
      <c r="W7" s="590" t="s">
        <v>345</v>
      </c>
      <c r="X7" s="419" t="s">
        <v>585</v>
      </c>
      <c r="Y7" s="419" t="s">
        <v>585</v>
      </c>
      <c r="Z7" s="590" t="s">
        <v>585</v>
      </c>
      <c r="AA7" s="590" t="s">
        <v>585</v>
      </c>
      <c r="AB7" s="590"/>
      <c r="AC7" s="504" t="s">
        <v>73</v>
      </c>
      <c r="AD7" s="591"/>
      <c r="AF7" s="711" t="s">
        <v>860</v>
      </c>
      <c r="AG7" s="714">
        <v>0.77</v>
      </c>
      <c r="AH7" s="714">
        <v>0.5</v>
      </c>
      <c r="AI7" s="714">
        <v>0.4</v>
      </c>
      <c r="AJ7" s="712">
        <v>0.79</v>
      </c>
      <c r="AK7" s="712">
        <v>81.75</v>
      </c>
      <c r="AL7" s="507">
        <v>530</v>
      </c>
    </row>
    <row r="8" spans="1:38" ht="15">
      <c r="A8" s="551" t="s">
        <v>917</v>
      </c>
      <c r="I8" s="829"/>
      <c r="J8" s="669" t="e">
        <f t="shared" si="0"/>
        <v>#N/A</v>
      </c>
      <c r="K8" s="828"/>
      <c r="L8" s="833"/>
      <c r="M8" s="828"/>
      <c r="N8" s="828"/>
      <c r="O8" s="828"/>
      <c r="P8" s="828"/>
      <c r="Q8" s="588" t="e">
        <f t="shared" si="1"/>
        <v>#DIV/0!</v>
      </c>
      <c r="R8" s="382" t="e">
        <f>SUMIF('In-Unit Lighting'!$E$13:$E$64,I8,'In-Unit Lighting'!$J$13:$J$64)/'Interior Lighting'!K8</f>
        <v>#DIV/0!</v>
      </c>
      <c r="U8" s="703" t="s">
        <v>260</v>
      </c>
      <c r="V8" s="551"/>
      <c r="W8" s="590" t="s">
        <v>199</v>
      </c>
      <c r="X8" s="419">
        <v>1.3</v>
      </c>
      <c r="Y8" s="419">
        <v>0.9</v>
      </c>
      <c r="Z8" s="419">
        <v>0.7</v>
      </c>
      <c r="AA8" s="419">
        <v>0.6</v>
      </c>
      <c r="AB8" s="419">
        <v>1.1</v>
      </c>
      <c r="AC8" s="507">
        <v>16</v>
      </c>
      <c r="AD8" s="591" t="s">
        <v>845</v>
      </c>
      <c r="AF8" s="711" t="s">
        <v>891</v>
      </c>
      <c r="AG8" s="714">
        <v>0.72</v>
      </c>
      <c r="AH8" s="714">
        <v>0.48</v>
      </c>
      <c r="AI8" s="714">
        <v>0.4</v>
      </c>
      <c r="AJ8" s="712">
        <v>0.79</v>
      </c>
      <c r="AK8" s="712">
        <v>81.75</v>
      </c>
      <c r="AL8" s="507">
        <v>531</v>
      </c>
    </row>
    <row r="9" spans="1:38" ht="15">
      <c r="A9" s="14" t="s">
        <v>218</v>
      </c>
      <c r="I9" s="829"/>
      <c r="J9" s="669" t="e">
        <f t="shared" si="0"/>
        <v>#N/A</v>
      </c>
      <c r="K9" s="828"/>
      <c r="L9" s="833"/>
      <c r="M9" s="828"/>
      <c r="N9" s="828"/>
      <c r="O9" s="828"/>
      <c r="P9" s="828"/>
      <c r="Q9" s="588" t="e">
        <f t="shared" si="1"/>
        <v>#DIV/0!</v>
      </c>
      <c r="R9" s="382" t="e">
        <f>SUMIF('In-Unit Lighting'!$E$13:$E$64,I9,'In-Unit Lighting'!$J$13:$J$64)/'Interior Lighting'!K9</f>
        <v>#DIV/0!</v>
      </c>
      <c r="U9" s="703" t="s">
        <v>297</v>
      </c>
      <c r="V9" s="551"/>
      <c r="W9" s="590" t="s">
        <v>841</v>
      </c>
      <c r="X9" s="419">
        <v>1.2</v>
      </c>
      <c r="Y9" s="419">
        <v>0.73</v>
      </c>
      <c r="Z9" s="419">
        <v>0.7</v>
      </c>
      <c r="AA9" s="419">
        <v>0.6</v>
      </c>
      <c r="AB9" s="419">
        <v>1.1</v>
      </c>
      <c r="AC9" s="507">
        <v>21</v>
      </c>
      <c r="AD9" s="591" t="s">
        <v>845</v>
      </c>
      <c r="AF9" s="711" t="s">
        <v>857</v>
      </c>
      <c r="AG9" s="715">
        <v>0.26</v>
      </c>
      <c r="AH9" s="715">
        <v>0.19</v>
      </c>
      <c r="AI9" s="715">
        <v>0.16</v>
      </c>
      <c r="AJ9" s="712">
        <v>0.79</v>
      </c>
      <c r="AK9" s="712">
        <v>81.75</v>
      </c>
      <c r="AL9" s="716" t="s">
        <v>886</v>
      </c>
    </row>
    <row r="10" spans="1:38" ht="15">
      <c r="A10" s="14" t="s">
        <v>14</v>
      </c>
      <c r="I10" s="829"/>
      <c r="J10" s="669" t="e">
        <f t="shared" si="0"/>
        <v>#N/A</v>
      </c>
      <c r="K10" s="828"/>
      <c r="L10" s="833"/>
      <c r="M10" s="828"/>
      <c r="N10" s="828"/>
      <c r="O10" s="828"/>
      <c r="P10" s="828"/>
      <c r="Q10" s="588" t="e">
        <f t="shared" si="1"/>
        <v>#DIV/0!</v>
      </c>
      <c r="R10" s="382" t="e">
        <f>SUMIF('In-Unit Lighting'!$E$13:$E$64,I10,'In-Unit Lighting'!$J$13:$J$64)/'Interior Lighting'!K10</f>
        <v>#DIV/0!</v>
      </c>
      <c r="U10" s="703" t="s">
        <v>203</v>
      </c>
      <c r="V10" s="551"/>
      <c r="W10" s="590" t="s">
        <v>260</v>
      </c>
      <c r="X10" s="419">
        <v>1.1</v>
      </c>
      <c r="Y10" s="419">
        <v>1.11</v>
      </c>
      <c r="Z10" s="419">
        <v>0.7</v>
      </c>
      <c r="AA10" s="419">
        <v>0.6</v>
      </c>
      <c r="AB10" s="419">
        <v>0.75</v>
      </c>
      <c r="AC10" s="507">
        <v>35</v>
      </c>
      <c r="AD10" s="591" t="s">
        <v>845</v>
      </c>
      <c r="AF10" s="711" t="s">
        <v>853</v>
      </c>
      <c r="AG10" s="589">
        <v>0.33</v>
      </c>
      <c r="AH10" s="589">
        <v>0.25</v>
      </c>
      <c r="AI10" s="589">
        <v>0.23</v>
      </c>
      <c r="AJ10" s="712">
        <v>0.79</v>
      </c>
      <c r="AK10" s="712">
        <v>81.75</v>
      </c>
      <c r="AL10" s="716" t="s">
        <v>887</v>
      </c>
    </row>
    <row r="11" spans="1:38" ht="15">
      <c r="A11" s="568" t="s">
        <v>754</v>
      </c>
      <c r="B11" s="568"/>
      <c r="C11" s="569"/>
      <c r="D11" s="568"/>
      <c r="E11" s="644"/>
      <c r="F11" s="477"/>
      <c r="G11" s="477"/>
      <c r="H11" s="477"/>
      <c r="I11" s="829"/>
      <c r="J11" s="669" t="e">
        <f t="shared" si="0"/>
        <v>#N/A</v>
      </c>
      <c r="K11" s="828"/>
      <c r="L11" s="833"/>
      <c r="M11" s="828"/>
      <c r="N11" s="828"/>
      <c r="O11" s="828"/>
      <c r="P11" s="828"/>
      <c r="Q11" s="588" t="e">
        <f t="shared" si="1"/>
        <v>#DIV/0!</v>
      </c>
      <c r="R11" s="382" t="e">
        <f>SUMIF('In-Unit Lighting'!$E$13:$E$64,I11,'In-Unit Lighting'!$J$13:$J$64)/'Interior Lighting'!K11</f>
        <v>#DIV/0!</v>
      </c>
      <c r="U11" s="703" t="s">
        <v>204</v>
      </c>
      <c r="V11" s="551"/>
      <c r="W11" s="590" t="s">
        <v>205</v>
      </c>
      <c r="X11" s="419">
        <v>0.2</v>
      </c>
      <c r="Y11" s="419">
        <v>0.19</v>
      </c>
      <c r="Z11" s="419">
        <v>0.7</v>
      </c>
      <c r="AA11" s="419">
        <v>0.6</v>
      </c>
      <c r="AB11" s="419">
        <v>0.14</v>
      </c>
      <c r="AC11" s="507">
        <v>7</v>
      </c>
      <c r="AD11" s="591" t="s">
        <v>844</v>
      </c>
      <c r="AF11" s="711" t="s">
        <v>861</v>
      </c>
      <c r="AG11" s="715">
        <v>0.47</v>
      </c>
      <c r="AH11" s="715">
        <v>0.26</v>
      </c>
      <c r="AI11" s="715">
        <v>0.23</v>
      </c>
      <c r="AJ11" s="712">
        <v>0.79</v>
      </c>
      <c r="AK11" s="712">
        <v>81.75</v>
      </c>
      <c r="AL11" s="716" t="s">
        <v>888</v>
      </c>
    </row>
    <row r="12" spans="1:38" ht="15">
      <c r="A12" s="548" t="s">
        <v>761</v>
      </c>
      <c r="I12" s="829"/>
      <c r="J12" s="669" t="e">
        <f t="shared" si="0"/>
        <v>#N/A</v>
      </c>
      <c r="K12" s="828"/>
      <c r="L12" s="833"/>
      <c r="M12" s="828"/>
      <c r="N12" s="828"/>
      <c r="O12" s="828"/>
      <c r="P12" s="828"/>
      <c r="Q12" s="588" t="e">
        <f t="shared" si="1"/>
        <v>#DIV/0!</v>
      </c>
      <c r="R12" s="382" t="e">
        <f>SUMIF('In-Unit Lighting'!$E$13:$E$64,I12,'In-Unit Lighting'!$J$13:$J$64)/'Interior Lighting'!K12</f>
        <v>#DIV/0!</v>
      </c>
      <c r="U12" s="703" t="s">
        <v>232</v>
      </c>
      <c r="V12" s="551"/>
      <c r="W12" s="590" t="s">
        <v>202</v>
      </c>
      <c r="X12" s="419">
        <v>0.9</v>
      </c>
      <c r="Y12" s="419">
        <v>0.98</v>
      </c>
      <c r="Z12" s="419">
        <v>0.7</v>
      </c>
      <c r="AA12" s="419">
        <v>0.6</v>
      </c>
      <c r="AB12" s="419">
        <v>0.6</v>
      </c>
      <c r="AC12" s="507">
        <v>12</v>
      </c>
      <c r="AD12" s="591" t="s">
        <v>866</v>
      </c>
      <c r="AF12" s="711" t="s">
        <v>862</v>
      </c>
      <c r="AG12" s="589">
        <v>0.64</v>
      </c>
      <c r="AH12" s="589">
        <v>0.64</v>
      </c>
      <c r="AI12" s="589">
        <v>0.64</v>
      </c>
      <c r="AJ12" s="712">
        <v>0.79</v>
      </c>
      <c r="AK12" s="712">
        <v>81.75</v>
      </c>
      <c r="AL12" s="507">
        <v>539</v>
      </c>
    </row>
    <row r="13" spans="1:38" ht="15">
      <c r="A13" s="551" t="s">
        <v>840</v>
      </c>
      <c r="B13" s="551"/>
      <c r="C13" s="548"/>
      <c r="D13" s="551"/>
      <c r="E13" s="574"/>
      <c r="F13" s="717"/>
      <c r="G13" s="574"/>
      <c r="H13" s="574"/>
      <c r="I13" s="829"/>
      <c r="J13" s="669" t="e">
        <f t="shared" si="0"/>
        <v>#N/A</v>
      </c>
      <c r="K13" s="828"/>
      <c r="L13" s="833"/>
      <c r="M13" s="828"/>
      <c r="N13" s="828"/>
      <c r="O13" s="828"/>
      <c r="P13" s="828"/>
      <c r="Q13" s="588" t="e">
        <f t="shared" si="1"/>
        <v>#DIV/0!</v>
      </c>
      <c r="R13" s="382" t="e">
        <f>SUMIF('In-Unit Lighting'!$E$13:$E$64,I13,'In-Unit Lighting'!$J$13:$J$64)/'Interior Lighting'!K13</f>
        <v>#DIV/0!</v>
      </c>
      <c r="U13" s="703" t="s">
        <v>345</v>
      </c>
      <c r="V13" s="551"/>
      <c r="W13" s="590" t="s">
        <v>201</v>
      </c>
      <c r="X13" s="419">
        <v>0.6</v>
      </c>
      <c r="Y13" s="419">
        <v>0.69</v>
      </c>
      <c r="Z13" s="419">
        <v>0.7</v>
      </c>
      <c r="AA13" s="419">
        <v>0.6</v>
      </c>
      <c r="AB13" s="419">
        <v>0.6</v>
      </c>
      <c r="AC13" s="507">
        <v>15</v>
      </c>
      <c r="AD13" s="591" t="s">
        <v>866</v>
      </c>
      <c r="AF13" s="711" t="s">
        <v>865</v>
      </c>
      <c r="AG13" s="481">
        <v>0.506</v>
      </c>
      <c r="AH13" s="481">
        <v>0.288</v>
      </c>
      <c r="AI13" s="481">
        <v>0.223</v>
      </c>
      <c r="AJ13" s="712">
        <v>0.69</v>
      </c>
      <c r="AK13" s="712">
        <v>16</v>
      </c>
      <c r="AL13" s="507">
        <v>503</v>
      </c>
    </row>
    <row r="14" spans="1:38" ht="15">
      <c r="A14" s="556">
        <f>IF(K26&gt;O26,"Warning: Installed lighting in combined non-apartment spaces exceeds ASHRAE/T24 allowances by "&amp;ROUND((K26-O26)/O26*100,1)&amp;"%","")</f>
      </c>
      <c r="B14" s="551"/>
      <c r="C14" s="548"/>
      <c r="D14" s="551"/>
      <c r="E14" s="574"/>
      <c r="F14" s="574"/>
      <c r="G14" s="574"/>
      <c r="H14" s="574"/>
      <c r="I14" s="829"/>
      <c r="J14" s="669" t="e">
        <f t="shared" si="0"/>
        <v>#N/A</v>
      </c>
      <c r="K14" s="828"/>
      <c r="L14" s="833"/>
      <c r="M14" s="828"/>
      <c r="N14" s="828"/>
      <c r="O14" s="828"/>
      <c r="P14" s="828"/>
      <c r="Q14" s="588" t="e">
        <f t="shared" si="1"/>
        <v>#DIV/0!</v>
      </c>
      <c r="R14" s="382" t="e">
        <f>SUMIF('In-Unit Lighting'!$E$13:$E$64,I14,'In-Unit Lighting'!$J$13:$J$64)/'Interior Lighting'!K14</f>
        <v>#DIV/0!</v>
      </c>
      <c r="U14" s="718" t="s">
        <v>813</v>
      </c>
      <c r="V14" s="551"/>
      <c r="W14" s="590" t="s">
        <v>197</v>
      </c>
      <c r="X14" s="419">
        <v>0.8</v>
      </c>
      <c r="Y14" s="419">
        <v>0.63</v>
      </c>
      <c r="Z14" s="419">
        <v>0.7</v>
      </c>
      <c r="AA14" s="419">
        <v>0.6</v>
      </c>
      <c r="AB14" s="419">
        <v>0.6</v>
      </c>
      <c r="AC14" s="507">
        <v>20</v>
      </c>
      <c r="AD14" s="591" t="s">
        <v>866</v>
      </c>
      <c r="AF14" s="711" t="s">
        <v>892</v>
      </c>
      <c r="AG14" s="589">
        <v>0.89</v>
      </c>
      <c r="AH14" s="589">
        <v>0.86</v>
      </c>
      <c r="AI14" s="589">
        <v>0.83</v>
      </c>
      <c r="AJ14" s="713">
        <v>0.9</v>
      </c>
      <c r="AK14" s="713">
        <v>70</v>
      </c>
      <c r="AL14" s="716" t="s">
        <v>872</v>
      </c>
    </row>
    <row r="15" spans="1:38" ht="15">
      <c r="A15" s="551" t="s">
        <v>765</v>
      </c>
      <c r="B15" s="551"/>
      <c r="C15" s="827"/>
      <c r="D15" s="551"/>
      <c r="E15" s="574"/>
      <c r="F15" s="574"/>
      <c r="G15" s="574"/>
      <c r="H15" s="574"/>
      <c r="I15" s="829"/>
      <c r="J15" s="669" t="e">
        <f t="shared" si="0"/>
        <v>#N/A</v>
      </c>
      <c r="K15" s="828"/>
      <c r="L15" s="833"/>
      <c r="M15" s="828"/>
      <c r="N15" s="828"/>
      <c r="O15" s="828"/>
      <c r="P15" s="828"/>
      <c r="Q15" s="588" t="e">
        <f t="shared" si="1"/>
        <v>#DIV/0!</v>
      </c>
      <c r="R15" s="382" t="e">
        <f>SUMIF('In-Unit Lighting'!$E$13:$E$64,I15,'In-Unit Lighting'!$J$13:$J$64)/'Interior Lighting'!K15</f>
        <v>#DIV/0!</v>
      </c>
      <c r="U15" s="718" t="s">
        <v>841</v>
      </c>
      <c r="V15" s="551"/>
      <c r="W15" s="590" t="s">
        <v>198</v>
      </c>
      <c r="X15" s="419">
        <v>0.3</v>
      </c>
      <c r="Y15" s="419">
        <v>0.63</v>
      </c>
      <c r="Z15" s="419">
        <v>0.7</v>
      </c>
      <c r="AA15" s="419">
        <v>0.6</v>
      </c>
      <c r="AB15" s="419">
        <v>0.6</v>
      </c>
      <c r="AC15" s="507">
        <v>8</v>
      </c>
      <c r="AD15" s="591" t="s">
        <v>866</v>
      </c>
      <c r="AF15" s="711" t="s">
        <v>864</v>
      </c>
      <c r="AG15" s="589">
        <v>0.45</v>
      </c>
      <c r="AH15" s="589">
        <v>0.26</v>
      </c>
      <c r="AI15" s="589">
        <v>0.2</v>
      </c>
      <c r="AJ15" s="713">
        <v>0.53</v>
      </c>
      <c r="AK15" s="713">
        <v>94.17</v>
      </c>
      <c r="AL15" s="716">
        <v>553</v>
      </c>
    </row>
    <row r="16" spans="1:38" ht="15">
      <c r="A16" s="551" t="s">
        <v>996</v>
      </c>
      <c r="B16" s="551"/>
      <c r="C16" s="827"/>
      <c r="D16" s="551"/>
      <c r="E16" s="574"/>
      <c r="F16" s="574"/>
      <c r="G16" s="574"/>
      <c r="H16" s="574"/>
      <c r="I16" s="829"/>
      <c r="J16" s="669" t="e">
        <f t="shared" si="0"/>
        <v>#N/A</v>
      </c>
      <c r="K16" s="828"/>
      <c r="L16" s="833"/>
      <c r="M16" s="828"/>
      <c r="N16" s="828"/>
      <c r="O16" s="828"/>
      <c r="P16" s="828"/>
      <c r="Q16" s="588" t="e">
        <f t="shared" si="1"/>
        <v>#DIV/0!</v>
      </c>
      <c r="R16" s="382" t="e">
        <f>SUMIF('In-Unit Lighting'!$E$13:$E$64,I16,'In-Unit Lighting'!$J$13:$J$64)/'Interior Lighting'!K16</f>
        <v>#DIV/0!</v>
      </c>
      <c r="U16" s="718" t="s">
        <v>842</v>
      </c>
      <c r="W16" s="590" t="s">
        <v>813</v>
      </c>
      <c r="X16" s="719">
        <v>0</v>
      </c>
      <c r="Y16" s="719">
        <v>0</v>
      </c>
      <c r="Z16" s="419">
        <v>0</v>
      </c>
      <c r="AA16" s="419">
        <v>0</v>
      </c>
      <c r="AB16" s="419">
        <v>0</v>
      </c>
      <c r="AC16" s="507" t="s">
        <v>73</v>
      </c>
      <c r="AD16" s="416"/>
      <c r="AF16" s="711" t="s">
        <v>863</v>
      </c>
      <c r="AG16" s="481">
        <v>0.72</v>
      </c>
      <c r="AH16" s="481">
        <v>0.41</v>
      </c>
      <c r="AI16" s="481">
        <v>0.31</v>
      </c>
      <c r="AJ16" s="712">
        <v>0.55</v>
      </c>
      <c r="AK16" s="712">
        <v>94.17</v>
      </c>
      <c r="AL16" s="716" t="s">
        <v>889</v>
      </c>
    </row>
    <row r="17" spans="4:38" ht="12.75" customHeight="1">
      <c r="D17" s="551"/>
      <c r="E17" s="574"/>
      <c r="F17" s="574"/>
      <c r="G17" s="574"/>
      <c r="H17" s="574"/>
      <c r="I17" s="829"/>
      <c r="J17" s="669" t="e">
        <f t="shared" si="0"/>
        <v>#N/A</v>
      </c>
      <c r="K17" s="828"/>
      <c r="L17" s="833"/>
      <c r="M17" s="828"/>
      <c r="N17" s="828"/>
      <c r="O17" s="828"/>
      <c r="P17" s="828"/>
      <c r="Q17" s="588" t="e">
        <f t="shared" si="1"/>
        <v>#DIV/0!</v>
      </c>
      <c r="R17" s="382" t="e">
        <f>SUMIF('In-Unit Lighting'!$E$13:$E$64,I17,'In-Unit Lighting'!$J$13:$J$64)/'Interior Lighting'!K17</f>
        <v>#DIV/0!</v>
      </c>
      <c r="U17" s="718" t="s">
        <v>871</v>
      </c>
      <c r="W17" s="590" t="s">
        <v>204</v>
      </c>
      <c r="X17" s="419">
        <v>1.9</v>
      </c>
      <c r="Y17" s="419">
        <v>1.59</v>
      </c>
      <c r="Z17" s="419">
        <v>0.7</v>
      </c>
      <c r="AA17" s="419">
        <v>0.6</v>
      </c>
      <c r="AB17" s="419">
        <v>0.9</v>
      </c>
      <c r="AC17" s="507">
        <v>50</v>
      </c>
      <c r="AD17" s="591" t="s">
        <v>845</v>
      </c>
      <c r="AF17" s="711" t="s">
        <v>855</v>
      </c>
      <c r="AG17" s="481">
        <v>1</v>
      </c>
      <c r="AH17" s="481">
        <v>0.859</v>
      </c>
      <c r="AI17" s="481">
        <v>0.81</v>
      </c>
      <c r="AJ17" s="712">
        <v>0.75</v>
      </c>
      <c r="AK17" s="712">
        <v>18.78</v>
      </c>
      <c r="AL17" s="507">
        <v>511</v>
      </c>
    </row>
    <row r="18" spans="4:29" ht="12.75">
      <c r="D18" s="543" t="s">
        <v>800</v>
      </c>
      <c r="E18" s="589" t="s">
        <v>798</v>
      </c>
      <c r="F18" s="589" t="s">
        <v>799</v>
      </c>
      <c r="G18" s="589" t="s">
        <v>801</v>
      </c>
      <c r="H18" s="574"/>
      <c r="I18" s="829"/>
      <c r="J18" s="669" t="e">
        <f t="shared" si="0"/>
        <v>#N/A</v>
      </c>
      <c r="K18" s="828"/>
      <c r="L18" s="833"/>
      <c r="M18" s="828"/>
      <c r="N18" s="828"/>
      <c r="O18" s="828"/>
      <c r="P18" s="828"/>
      <c r="Q18" s="588" t="e">
        <f t="shared" si="1"/>
        <v>#DIV/0!</v>
      </c>
      <c r="R18" s="382" t="e">
        <f>SUMIF('In-Unit Lighting'!$E$13:$E$64,I18,'In-Unit Lighting'!$J$13:$J$64)/'Interior Lighting'!K18</f>
        <v>#DIV/0!</v>
      </c>
      <c r="U18" s="425" t="s">
        <v>315</v>
      </c>
      <c r="AC18" s="457"/>
    </row>
    <row r="19" spans="4:21" ht="12.75">
      <c r="D19" s="590" t="s">
        <v>37</v>
      </c>
      <c r="E19" s="591">
        <f>SUMIF(R2:R24,"&gt;0",R2:R24)</f>
        <v>0</v>
      </c>
      <c r="F19" s="591">
        <f>_xlfn.SUMIFS($R$2:$R$24,$O$2:$O$24,"Yes")</f>
        <v>0</v>
      </c>
      <c r="G19" s="592" t="e">
        <f>F19/E19</f>
        <v>#DIV/0!</v>
      </c>
      <c r="H19" s="574"/>
      <c r="I19" s="829"/>
      <c r="J19" s="669" t="e">
        <f t="shared" si="0"/>
        <v>#N/A</v>
      </c>
      <c r="K19" s="828"/>
      <c r="L19" s="833"/>
      <c r="M19" s="828"/>
      <c r="N19" s="828"/>
      <c r="O19" s="828"/>
      <c r="P19" s="828"/>
      <c r="Q19" s="588" t="e">
        <f t="shared" si="1"/>
        <v>#DIV/0!</v>
      </c>
      <c r="R19" s="382" t="e">
        <f>SUMIF('In-Unit Lighting'!$E$13:$E$64,I19,'In-Unit Lighting'!$J$13:$J$64)/'Interior Lighting'!K19</f>
        <v>#DIV/0!</v>
      </c>
      <c r="U19" s="425" t="s">
        <v>316</v>
      </c>
    </row>
    <row r="20" spans="4:24" ht="12.75">
      <c r="D20" s="543" t="s">
        <v>797</v>
      </c>
      <c r="E20" s="589">
        <f>SUMIF($N$2:$N$24,D20,$Q$2:$Q$24)</f>
        <v>0</v>
      </c>
      <c r="F20" s="589">
        <f>_xlfn.SUMIFS($Q$2:$Q$24,$N$2:$N$24,D20,$O$2:$O$24,"Yes")</f>
        <v>0</v>
      </c>
      <c r="G20" s="593" t="e">
        <f>F20/E20</f>
        <v>#DIV/0!</v>
      </c>
      <c r="H20" s="574"/>
      <c r="I20" s="829"/>
      <c r="J20" s="669" t="e">
        <f t="shared" si="0"/>
        <v>#N/A</v>
      </c>
      <c r="K20" s="828"/>
      <c r="L20" s="833"/>
      <c r="M20" s="828"/>
      <c r="N20" s="828"/>
      <c r="O20" s="828"/>
      <c r="P20" s="828"/>
      <c r="Q20" s="588" t="e">
        <f t="shared" si="1"/>
        <v>#DIV/0!</v>
      </c>
      <c r="R20" s="382" t="e">
        <f>SUMIF('In-Unit Lighting'!$E$13:$E$64,I20,'In-Unit Lighting'!$J$13:$J$64)/'Interior Lighting'!K20</f>
        <v>#DIV/0!</v>
      </c>
      <c r="U20" s="640" t="s">
        <v>760</v>
      </c>
      <c r="W20" s="551" t="s">
        <v>803</v>
      </c>
      <c r="X20" s="551" t="s">
        <v>997</v>
      </c>
    </row>
    <row r="21" spans="1:24" ht="12.75">
      <c r="A21" s="551"/>
      <c r="B21" s="551"/>
      <c r="C21" s="720"/>
      <c r="D21" s="721"/>
      <c r="E21" s="722"/>
      <c r="F21" s="722"/>
      <c r="G21" s="723"/>
      <c r="H21" s="724"/>
      <c r="I21" s="829"/>
      <c r="J21" s="669" t="e">
        <f t="shared" si="0"/>
        <v>#N/A</v>
      </c>
      <c r="K21" s="828"/>
      <c r="L21" s="833"/>
      <c r="M21" s="828"/>
      <c r="N21" s="828"/>
      <c r="O21" s="828"/>
      <c r="P21" s="828"/>
      <c r="Q21" s="588" t="e">
        <f t="shared" si="1"/>
        <v>#DIV/0!</v>
      </c>
      <c r="R21" s="382" t="e">
        <f>SUMIF('In-Unit Lighting'!$E$13:$E$64,I21,'In-Unit Lighting'!$J$13:$J$64)/'Interior Lighting'!K21</f>
        <v>#DIV/0!</v>
      </c>
      <c r="U21" s="402"/>
      <c r="W21" s="551" t="s">
        <v>804</v>
      </c>
      <c r="X21" s="551" t="s">
        <v>998</v>
      </c>
    </row>
    <row r="22" spans="1:23" ht="12.75">
      <c r="A22" s="551"/>
      <c r="B22" s="551"/>
      <c r="C22" s="720"/>
      <c r="D22" s="473"/>
      <c r="E22" s="725"/>
      <c r="F22" s="725"/>
      <c r="G22" s="725"/>
      <c r="H22" s="574"/>
      <c r="I22" s="830"/>
      <c r="J22" s="669" t="e">
        <f t="shared" si="0"/>
        <v>#N/A</v>
      </c>
      <c r="K22" s="828"/>
      <c r="L22" s="833"/>
      <c r="M22" s="831"/>
      <c r="N22" s="831"/>
      <c r="O22" s="831"/>
      <c r="P22" s="832"/>
      <c r="Q22" s="588" t="e">
        <f t="shared" si="1"/>
        <v>#DIV/0!</v>
      </c>
      <c r="R22" s="382" t="e">
        <f>SUMIF('In-Unit Lighting'!$E$13:$E$64,I22,'In-Unit Lighting'!$J$13:$J$64)/'Interior Lighting'!K22</f>
        <v>#DIV/0!</v>
      </c>
      <c r="W22" s="551" t="s">
        <v>805</v>
      </c>
    </row>
    <row r="23" spans="1:23" ht="12.75">
      <c r="A23" s="551"/>
      <c r="B23" s="551"/>
      <c r="C23" s="548"/>
      <c r="D23" s="551"/>
      <c r="E23" s="574"/>
      <c r="F23" s="574"/>
      <c r="G23" s="574"/>
      <c r="H23" s="726" t="s">
        <v>752</v>
      </c>
      <c r="I23" s="831"/>
      <c r="J23" s="669" t="e">
        <f t="shared" si="0"/>
        <v>#N/A</v>
      </c>
      <c r="K23" s="828"/>
      <c r="L23" s="833"/>
      <c r="M23" s="831"/>
      <c r="N23" s="831"/>
      <c r="O23" s="831"/>
      <c r="P23" s="832"/>
      <c r="Q23" s="588" t="e">
        <f t="shared" si="1"/>
        <v>#DIV/0!</v>
      </c>
      <c r="R23" s="382" t="e">
        <f>SUMIF('In-Unit Lighting'!$E$13:$E$64,I23,'In-Unit Lighting'!$J$13:$J$64)/'Interior Lighting'!K23</f>
        <v>#DIV/0!</v>
      </c>
      <c r="W23" s="551" t="s">
        <v>806</v>
      </c>
    </row>
    <row r="24" spans="1:23" ht="12.75">
      <c r="A24" s="551"/>
      <c r="B24" s="551"/>
      <c r="C24" s="548"/>
      <c r="D24" s="551"/>
      <c r="E24" s="574"/>
      <c r="F24" s="574"/>
      <c r="G24" s="574"/>
      <c r="I24" s="832"/>
      <c r="J24" s="669" t="e">
        <f t="shared" si="0"/>
        <v>#N/A</v>
      </c>
      <c r="K24" s="828"/>
      <c r="L24" s="833"/>
      <c r="M24" s="832"/>
      <c r="N24" s="832"/>
      <c r="O24" s="832"/>
      <c r="P24" s="832"/>
      <c r="Q24" s="588" t="e">
        <f t="shared" si="1"/>
        <v>#DIV/0!</v>
      </c>
      <c r="R24" s="382" t="e">
        <f>SUMIF('In-Unit Lighting'!$E$13:$E$64,I24,'In-Unit Lighting'!$J$13:$J$64)/'Interior Lighting'!K24</f>
        <v>#DIV/0!</v>
      </c>
      <c r="U24" s="551"/>
      <c r="W24" s="551" t="s">
        <v>1010</v>
      </c>
    </row>
    <row r="25" spans="1:14" ht="13.5" thickBot="1">
      <c r="A25" s="551"/>
      <c r="B25" s="551"/>
      <c r="C25" s="548"/>
      <c r="D25" s="551"/>
      <c r="E25" s="574"/>
      <c r="F25" s="574"/>
      <c r="G25" s="574"/>
      <c r="H25" s="726"/>
      <c r="I25" s="687"/>
      <c r="J25" s="687"/>
      <c r="K25" s="687"/>
      <c r="M25" s="687"/>
      <c r="N25" s="687"/>
    </row>
    <row r="26" spans="1:19" ht="13.5" thickBot="1">
      <c r="A26" s="551"/>
      <c r="B26" s="551"/>
      <c r="C26" s="548"/>
      <c r="D26" s="551"/>
      <c r="E26" s="574"/>
      <c r="F26" s="574"/>
      <c r="G26" s="574"/>
      <c r="H26" s="574"/>
      <c r="K26" s="594">
        <f>SUM(K28:K411)</f>
        <v>0</v>
      </c>
      <c r="O26" s="610">
        <f>SUM(O28:O411)</f>
        <v>0</v>
      </c>
      <c r="Q26" s="551"/>
      <c r="S26" s="688">
        <f>SUM(S28:S411)</f>
        <v>0</v>
      </c>
    </row>
    <row r="27" spans="2:20" ht="51">
      <c r="B27" s="478" t="s">
        <v>338</v>
      </c>
      <c r="C27" s="545" t="s">
        <v>3</v>
      </c>
      <c r="D27" s="459" t="s">
        <v>339</v>
      </c>
      <c r="E27" s="666" t="s">
        <v>883</v>
      </c>
      <c r="F27" s="479" t="s">
        <v>340</v>
      </c>
      <c r="G27" s="544" t="s">
        <v>4</v>
      </c>
      <c r="H27" s="544" t="s">
        <v>843</v>
      </c>
      <c r="I27" s="479" t="s">
        <v>341</v>
      </c>
      <c r="J27" s="479" t="s">
        <v>342</v>
      </c>
      <c r="K27" s="479" t="s">
        <v>343</v>
      </c>
      <c r="L27" s="544" t="s">
        <v>15</v>
      </c>
      <c r="M27" s="544" t="s">
        <v>881</v>
      </c>
      <c r="N27" s="544" t="s">
        <v>508</v>
      </c>
      <c r="O27" s="480" t="s">
        <v>509</v>
      </c>
      <c r="P27" s="617" t="s">
        <v>882</v>
      </c>
      <c r="Q27" s="617" t="s">
        <v>884</v>
      </c>
      <c r="R27" s="617" t="s">
        <v>885</v>
      </c>
      <c r="S27" s="479" t="s">
        <v>751</v>
      </c>
      <c r="T27" s="595" t="s">
        <v>796</v>
      </c>
    </row>
    <row r="28" spans="1:30" ht="12.75">
      <c r="A28" s="836"/>
      <c r="B28" s="837"/>
      <c r="C28" s="838"/>
      <c r="D28" s="827"/>
      <c r="E28" s="588" t="e">
        <f>LOOKUP(D28,$W$2:$W$17,$AD$2:$AD$17)</f>
        <v>#N/A</v>
      </c>
      <c r="F28" s="834"/>
      <c r="G28" s="835"/>
      <c r="H28" s="831"/>
      <c r="I28" s="481" t="e">
        <f>VLOOKUP(G28,$I$2:$K$24,3,FALSE)</f>
        <v>#N/A</v>
      </c>
      <c r="J28" s="834"/>
      <c r="K28" s="482">
        <f aca="true" t="shared" si="2" ref="K28:K33">IF(D28="Exit Signs",0,IF(F28&gt;0,F28*I28*J28,0))</f>
        <v>0</v>
      </c>
      <c r="L28" s="483" t="e">
        <f>IF(D28="Exit Signs","convert to kW",K28/(B28*J28))</f>
        <v>#DIV/0!</v>
      </c>
      <c r="M28" s="483" t="str">
        <f>IF(H28="Yes",IF(D28="Stairs - Active",0.65*L28,IF(D28="Corridor/Transition",0.75*L28,IF(D28="Conference/meeting/multipurpose",1*L28,IF(D28="Community or Computer Room",1*L28,0.9*L28)))),"NA")</f>
        <v>NA</v>
      </c>
      <c r="N28" s="600" t="b">
        <f>IF($C$15="Space-By-Space (90.1-2007)",LOOKUP(D28,$W$2:$W$17,$X$2:$X$17),IF($C$15="Space-By-Space (90.1-2010)",LOOKUP(D28,$W$2:$W$17,$Y$2:$Y$17),IF($C$15="Building Area (90.1-2007)",LOOKUP(D28,$W$2:$W$17,$Z$2:$Z$17),IF($C$15="Building Area (90.1-2010)",LOOKUP(D28,$W$2:$W$17,$AA$2:$AA$17),IF($C$15="CA Title 24-2013",LOOKUP(D28,$W$2:$W$17,$AB$2:$AB$17))))))</f>
        <v>0</v>
      </c>
      <c r="O28" s="612">
        <f>IF(D28="Exit Signs",0,IF(B28&gt;0,N28*B28*J28,0))</f>
        <v>0</v>
      </c>
      <c r="P28" s="615" t="e">
        <f>LOOKUP(G28,$I$2:$I$24,$J$2:$J$24)*LOOKUP(LOOKUP(G28,$I$2:$I$24,$L$2:$L$24),$AF$2:$AF$17,$AJ$2:$AJ$17)*IF(E28="A",LOOKUP(LOOKUP(G28,$I$2:$I$24,$L$2:$L$24),$AF$2:$AF$17,$AG$2:$AG$17),IF(E28="B",LOOKUP(LOOKUP(G28,$I$2:$I$24,$L$2:$L$24),$AF$2:$AF$17,$AH$2:$AH$17),IF(E28="C",LOOKUP(LOOKUP(G28,$I$2:$I$24,$L$2:$L$24),$AF$2:$AF$17,$AI$2:$AI$17))))</f>
        <v>#N/A</v>
      </c>
      <c r="Q28" s="668" t="e">
        <f>P28*K28/S28</f>
        <v>#N/A</v>
      </c>
      <c r="R28" s="616" t="e">
        <f>LOOKUP(D28,$W$2:$W$17,$AC$2:$AC$17)</f>
        <v>#N/A</v>
      </c>
      <c r="S28" s="484">
        <f>B28*J28</f>
        <v>0</v>
      </c>
      <c r="T28" s="374">
        <f>IF(F28&gt;0,IF(Q28&lt;R28,"Insufficient lighting to meet IESNA footcandle recommendations.",""),"")</f>
      </c>
      <c r="AD28" s="425"/>
    </row>
    <row r="29" spans="1:30" ht="12.75">
      <c r="A29" s="839"/>
      <c r="B29" s="837"/>
      <c r="C29" s="838"/>
      <c r="D29" s="827"/>
      <c r="E29" s="588" t="e">
        <f aca="true" t="shared" si="3" ref="E29:E92">LOOKUP(D29,$W$2:$W$17,$AD$2:$AD$17)</f>
        <v>#N/A</v>
      </c>
      <c r="F29" s="834"/>
      <c r="G29" s="835"/>
      <c r="H29" s="831"/>
      <c r="I29" s="481" t="e">
        <f aca="true" t="shared" si="4" ref="I29:I92">VLOOKUP(G29,$I$2:$K$24,3,FALSE)</f>
        <v>#N/A</v>
      </c>
      <c r="J29" s="834"/>
      <c r="K29" s="482">
        <f t="shared" si="2"/>
        <v>0</v>
      </c>
      <c r="L29" s="483" t="e">
        <f aca="true" t="shared" si="5" ref="L29:L92">IF(D29="Exit Signs","convert to kW",K29/(B29*J29))</f>
        <v>#DIV/0!</v>
      </c>
      <c r="M29" s="483" t="str">
        <f aca="true" t="shared" si="6" ref="M29:M92">IF(H29="Yes",IF(D29="Stairs - Active",0.65*L29,IF(D29="Corridor/Transition",0.75*L29,IF(D29="Conference/meeting/multipurpose",1*L29,IF(D29="Community or Computer Room",1*L29,0.9*L29)))),"NA")</f>
        <v>NA</v>
      </c>
      <c r="N29" s="600" t="b">
        <f aca="true" t="shared" si="7" ref="N29:N92">IF($C$15="Space-By-Space (90.1-2007)",LOOKUP(D29,$W$2:$W$17,$X$2:$X$17),IF($C$15="Space-By-Space (90.1-2010)",LOOKUP(D29,$W$2:$W$17,$Y$2:$Y$17),IF($C$15="Building Area (90.1-2007)",LOOKUP(D29,$W$2:$W$17,$Z$2:$Z$17),IF($C$15="Building Area (90.1-2010)",LOOKUP(D29,$W$2:$W$17,$AA$2:$AA$17),IF($C$15="CA Title 24-2013",LOOKUP(D29,$W$2:$W$17,$AB$2:$AB$17))))))</f>
        <v>0</v>
      </c>
      <c r="O29" s="612">
        <f aca="true" t="shared" si="8" ref="O29:O92">IF(D29="Exit Signs",0,IF(B29&gt;0,N29*B29*J29,0))</f>
        <v>0</v>
      </c>
      <c r="P29" s="613" t="e">
        <f aca="true" t="shared" si="9" ref="P29:P92">LOOKUP(G29,$I$2:$I$24,$J$2:$J$24)*LOOKUP(LOOKUP(G29,$I$2:$I$24,$L$2:$L$24),$AF$2:$AF$17,$AJ$2:$AJ$17)*IF(E29="A",LOOKUP(LOOKUP(G29,$I$2:$I$24,$L$2:$L$24),$AF$2:$AF$17,$AG$2:$AG$17),IF(E29="B",LOOKUP(LOOKUP(G29,$I$2:$I$24,$L$2:$L$24),$AF$2:$AF$17,$AH$2:$AH$17),IF(E29="C",LOOKUP(LOOKUP(G29,$I$2:$I$24,$L$2:$L$24),$AF$2:$AF$17,$AI$2:$AI$17))))</f>
        <v>#N/A</v>
      </c>
      <c r="Q29" s="424" t="e">
        <f aca="true" t="shared" si="10" ref="Q29:Q92">P29*K29/S29</f>
        <v>#N/A</v>
      </c>
      <c r="R29" s="611" t="e">
        <f aca="true" t="shared" si="11" ref="R29:R92">LOOKUP(D29,$W$2:$W$17,$AC$2:$AC$17)</f>
        <v>#N/A</v>
      </c>
      <c r="S29" s="484">
        <f aca="true" t="shared" si="12" ref="S29:S92">B29*J29</f>
        <v>0</v>
      </c>
      <c r="T29" s="374">
        <f aca="true" t="shared" si="13" ref="T29:T92">IF(F29&gt;0,IF(Q29&lt;R29,"Insufficient lighting to meet IESNA footcandle recommendations.",""),"")</f>
      </c>
      <c r="U29" s="374">
        <f aca="true" t="shared" si="14" ref="U29:U91">IF(F29&gt;0,IF(Q29&lt;R29,"Insufficient lighting to meet IESNA footcandle recommendations.",""),"")</f>
      </c>
      <c r="AD29" s="425"/>
    </row>
    <row r="30" spans="1:30" ht="12.75">
      <c r="A30" s="839"/>
      <c r="B30" s="837"/>
      <c r="C30" s="838"/>
      <c r="D30" s="827"/>
      <c r="E30" s="588" t="e">
        <f t="shared" si="3"/>
        <v>#N/A</v>
      </c>
      <c r="F30" s="834"/>
      <c r="G30" s="835"/>
      <c r="H30" s="831"/>
      <c r="I30" s="481" t="e">
        <f t="shared" si="4"/>
        <v>#N/A</v>
      </c>
      <c r="J30" s="834"/>
      <c r="K30" s="482">
        <f t="shared" si="2"/>
        <v>0</v>
      </c>
      <c r="L30" s="483" t="e">
        <f t="shared" si="5"/>
        <v>#DIV/0!</v>
      </c>
      <c r="M30" s="483" t="str">
        <f t="shared" si="6"/>
        <v>NA</v>
      </c>
      <c r="N30" s="600" t="b">
        <f t="shared" si="7"/>
        <v>0</v>
      </c>
      <c r="O30" s="612">
        <f t="shared" si="8"/>
        <v>0</v>
      </c>
      <c r="P30" s="613" t="e">
        <f t="shared" si="9"/>
        <v>#N/A</v>
      </c>
      <c r="Q30" s="424" t="e">
        <f t="shared" si="10"/>
        <v>#N/A</v>
      </c>
      <c r="R30" s="611" t="e">
        <f t="shared" si="11"/>
        <v>#N/A</v>
      </c>
      <c r="S30" s="484">
        <f t="shared" si="12"/>
        <v>0</v>
      </c>
      <c r="T30" s="374">
        <f t="shared" si="13"/>
      </c>
      <c r="U30" s="374">
        <f t="shared" si="14"/>
      </c>
      <c r="AD30" s="425"/>
    </row>
    <row r="31" spans="1:30" ht="12.75">
      <c r="A31" s="840"/>
      <c r="B31" s="837"/>
      <c r="C31" s="838"/>
      <c r="D31" s="827"/>
      <c r="E31" s="588" t="e">
        <f t="shared" si="3"/>
        <v>#N/A</v>
      </c>
      <c r="F31" s="834"/>
      <c r="G31" s="835"/>
      <c r="H31" s="831"/>
      <c r="I31" s="481" t="e">
        <f t="shared" si="4"/>
        <v>#N/A</v>
      </c>
      <c r="J31" s="834"/>
      <c r="K31" s="482">
        <f t="shared" si="2"/>
        <v>0</v>
      </c>
      <c r="L31" s="483" t="e">
        <f t="shared" si="5"/>
        <v>#DIV/0!</v>
      </c>
      <c r="M31" s="483" t="str">
        <f t="shared" si="6"/>
        <v>NA</v>
      </c>
      <c r="N31" s="600" t="b">
        <f t="shared" si="7"/>
        <v>0</v>
      </c>
      <c r="O31" s="612">
        <f t="shared" si="8"/>
        <v>0</v>
      </c>
      <c r="P31" s="613" t="e">
        <f t="shared" si="9"/>
        <v>#N/A</v>
      </c>
      <c r="Q31" s="424" t="e">
        <f t="shared" si="10"/>
        <v>#N/A</v>
      </c>
      <c r="R31" s="611" t="e">
        <f t="shared" si="11"/>
        <v>#N/A</v>
      </c>
      <c r="S31" s="484">
        <f t="shared" si="12"/>
        <v>0</v>
      </c>
      <c r="T31" s="374">
        <f t="shared" si="13"/>
      </c>
      <c r="U31" s="374">
        <f t="shared" si="14"/>
      </c>
      <c r="AD31" s="399"/>
    </row>
    <row r="32" spans="1:30" ht="12.75">
      <c r="A32" s="840"/>
      <c r="B32" s="837"/>
      <c r="C32" s="838"/>
      <c r="D32" s="827"/>
      <c r="E32" s="588" t="e">
        <f t="shared" si="3"/>
        <v>#N/A</v>
      </c>
      <c r="F32" s="834"/>
      <c r="G32" s="835"/>
      <c r="H32" s="831"/>
      <c r="I32" s="481" t="e">
        <f t="shared" si="4"/>
        <v>#N/A</v>
      </c>
      <c r="J32" s="834"/>
      <c r="K32" s="482">
        <f t="shared" si="2"/>
        <v>0</v>
      </c>
      <c r="L32" s="483" t="e">
        <f t="shared" si="5"/>
        <v>#DIV/0!</v>
      </c>
      <c r="M32" s="483" t="str">
        <f t="shared" si="6"/>
        <v>NA</v>
      </c>
      <c r="N32" s="600" t="b">
        <f t="shared" si="7"/>
        <v>0</v>
      </c>
      <c r="O32" s="612">
        <f t="shared" si="8"/>
        <v>0</v>
      </c>
      <c r="P32" s="613" t="e">
        <f t="shared" si="9"/>
        <v>#N/A</v>
      </c>
      <c r="Q32" s="424" t="e">
        <f t="shared" si="10"/>
        <v>#N/A</v>
      </c>
      <c r="R32" s="611" t="e">
        <f t="shared" si="11"/>
        <v>#N/A</v>
      </c>
      <c r="S32" s="484">
        <f t="shared" si="12"/>
        <v>0</v>
      </c>
      <c r="T32" s="374">
        <f t="shared" si="13"/>
      </c>
      <c r="U32" s="374">
        <f t="shared" si="14"/>
      </c>
      <c r="AD32" s="399"/>
    </row>
    <row r="33" spans="1:30" ht="12.75">
      <c r="A33" s="840"/>
      <c r="B33" s="837"/>
      <c r="C33" s="838"/>
      <c r="D33" s="827"/>
      <c r="E33" s="588" t="e">
        <f t="shared" si="3"/>
        <v>#N/A</v>
      </c>
      <c r="F33" s="834"/>
      <c r="G33" s="835"/>
      <c r="H33" s="831"/>
      <c r="I33" s="481" t="e">
        <f t="shared" si="4"/>
        <v>#N/A</v>
      </c>
      <c r="J33" s="834"/>
      <c r="K33" s="482">
        <f t="shared" si="2"/>
        <v>0</v>
      </c>
      <c r="L33" s="483" t="e">
        <f t="shared" si="5"/>
        <v>#DIV/0!</v>
      </c>
      <c r="M33" s="483" t="str">
        <f t="shared" si="6"/>
        <v>NA</v>
      </c>
      <c r="N33" s="600" t="b">
        <f t="shared" si="7"/>
        <v>0</v>
      </c>
      <c r="O33" s="612">
        <f t="shared" si="8"/>
        <v>0</v>
      </c>
      <c r="P33" s="613" t="e">
        <f t="shared" si="9"/>
        <v>#N/A</v>
      </c>
      <c r="Q33" s="424" t="e">
        <f t="shared" si="10"/>
        <v>#N/A</v>
      </c>
      <c r="R33" s="611" t="e">
        <f t="shared" si="11"/>
        <v>#N/A</v>
      </c>
      <c r="S33" s="484">
        <f t="shared" si="12"/>
        <v>0</v>
      </c>
      <c r="T33" s="374">
        <f t="shared" si="13"/>
      </c>
      <c r="U33" s="374">
        <f t="shared" si="14"/>
      </c>
      <c r="AD33" s="399"/>
    </row>
    <row r="34" spans="1:30" ht="12.75">
      <c r="A34" s="840"/>
      <c r="B34" s="837"/>
      <c r="C34" s="838"/>
      <c r="D34" s="827"/>
      <c r="E34" s="588" t="e">
        <f t="shared" si="3"/>
        <v>#N/A</v>
      </c>
      <c r="F34" s="834"/>
      <c r="G34" s="835"/>
      <c r="H34" s="831"/>
      <c r="I34" s="481" t="e">
        <f t="shared" si="4"/>
        <v>#N/A</v>
      </c>
      <c r="J34" s="834"/>
      <c r="K34" s="482">
        <f aca="true" t="shared" si="15" ref="K34:K97">IF(D34="Exit Signs",0,IF(F34&gt;0,F34*I34*J34,0))</f>
        <v>0</v>
      </c>
      <c r="L34" s="483" t="e">
        <f t="shared" si="5"/>
        <v>#DIV/0!</v>
      </c>
      <c r="M34" s="483" t="str">
        <f t="shared" si="6"/>
        <v>NA</v>
      </c>
      <c r="N34" s="600" t="b">
        <f t="shared" si="7"/>
        <v>0</v>
      </c>
      <c r="O34" s="612">
        <f t="shared" si="8"/>
        <v>0</v>
      </c>
      <c r="P34" s="613" t="e">
        <f t="shared" si="9"/>
        <v>#N/A</v>
      </c>
      <c r="Q34" s="424" t="e">
        <f t="shared" si="10"/>
        <v>#N/A</v>
      </c>
      <c r="R34" s="611" t="e">
        <f t="shared" si="11"/>
        <v>#N/A</v>
      </c>
      <c r="S34" s="484">
        <f t="shared" si="12"/>
        <v>0</v>
      </c>
      <c r="T34" s="374">
        <f t="shared" si="13"/>
      </c>
      <c r="U34" s="374">
        <f t="shared" si="14"/>
      </c>
      <c r="AD34" s="399"/>
    </row>
    <row r="35" spans="1:30" ht="12.75">
      <c r="A35" s="840"/>
      <c r="B35" s="837"/>
      <c r="C35" s="838"/>
      <c r="D35" s="827"/>
      <c r="E35" s="588" t="e">
        <f t="shared" si="3"/>
        <v>#N/A</v>
      </c>
      <c r="F35" s="834"/>
      <c r="G35" s="835"/>
      <c r="H35" s="831"/>
      <c r="I35" s="481" t="e">
        <f t="shared" si="4"/>
        <v>#N/A</v>
      </c>
      <c r="J35" s="834"/>
      <c r="K35" s="482">
        <f t="shared" si="15"/>
        <v>0</v>
      </c>
      <c r="L35" s="483" t="e">
        <f t="shared" si="5"/>
        <v>#DIV/0!</v>
      </c>
      <c r="M35" s="483" t="str">
        <f t="shared" si="6"/>
        <v>NA</v>
      </c>
      <c r="N35" s="600" t="b">
        <f t="shared" si="7"/>
        <v>0</v>
      </c>
      <c r="O35" s="612">
        <f t="shared" si="8"/>
        <v>0</v>
      </c>
      <c r="P35" s="613" t="e">
        <f t="shared" si="9"/>
        <v>#N/A</v>
      </c>
      <c r="Q35" s="424" t="e">
        <f t="shared" si="10"/>
        <v>#N/A</v>
      </c>
      <c r="R35" s="611" t="e">
        <f t="shared" si="11"/>
        <v>#N/A</v>
      </c>
      <c r="S35" s="484">
        <f t="shared" si="12"/>
        <v>0</v>
      </c>
      <c r="T35" s="374">
        <f t="shared" si="13"/>
      </c>
      <c r="U35" s="374">
        <f t="shared" si="14"/>
      </c>
      <c r="AD35" s="425"/>
    </row>
    <row r="36" spans="1:30" ht="12.75">
      <c r="A36" s="840"/>
      <c r="B36" s="837"/>
      <c r="C36" s="838"/>
      <c r="D36" s="827"/>
      <c r="E36" s="588" t="e">
        <f t="shared" si="3"/>
        <v>#N/A</v>
      </c>
      <c r="F36" s="834"/>
      <c r="G36" s="835"/>
      <c r="H36" s="831"/>
      <c r="I36" s="481" t="e">
        <f t="shared" si="4"/>
        <v>#N/A</v>
      </c>
      <c r="J36" s="834"/>
      <c r="K36" s="482">
        <f t="shared" si="15"/>
        <v>0</v>
      </c>
      <c r="L36" s="483" t="e">
        <f t="shared" si="5"/>
        <v>#DIV/0!</v>
      </c>
      <c r="M36" s="483" t="str">
        <f t="shared" si="6"/>
        <v>NA</v>
      </c>
      <c r="N36" s="600" t="b">
        <f t="shared" si="7"/>
        <v>0</v>
      </c>
      <c r="O36" s="612">
        <f t="shared" si="8"/>
        <v>0</v>
      </c>
      <c r="P36" s="613" t="e">
        <f t="shared" si="9"/>
        <v>#N/A</v>
      </c>
      <c r="Q36" s="424" t="e">
        <f t="shared" si="10"/>
        <v>#N/A</v>
      </c>
      <c r="R36" s="611" t="e">
        <f t="shared" si="11"/>
        <v>#N/A</v>
      </c>
      <c r="S36" s="484">
        <f t="shared" si="12"/>
        <v>0</v>
      </c>
      <c r="T36" s="374">
        <f t="shared" si="13"/>
      </c>
      <c r="U36" s="374">
        <f t="shared" si="14"/>
      </c>
      <c r="AD36" s="399"/>
    </row>
    <row r="37" spans="1:30" ht="12.75">
      <c r="A37" s="839"/>
      <c r="B37" s="837"/>
      <c r="C37" s="838"/>
      <c r="D37" s="827"/>
      <c r="E37" s="588" t="e">
        <f t="shared" si="3"/>
        <v>#N/A</v>
      </c>
      <c r="F37" s="834"/>
      <c r="G37" s="835"/>
      <c r="H37" s="831"/>
      <c r="I37" s="481" t="e">
        <f t="shared" si="4"/>
        <v>#N/A</v>
      </c>
      <c r="J37" s="834"/>
      <c r="K37" s="482">
        <f t="shared" si="15"/>
        <v>0</v>
      </c>
      <c r="L37" s="483" t="e">
        <f t="shared" si="5"/>
        <v>#DIV/0!</v>
      </c>
      <c r="M37" s="483" t="str">
        <f t="shared" si="6"/>
        <v>NA</v>
      </c>
      <c r="N37" s="600" t="b">
        <f t="shared" si="7"/>
        <v>0</v>
      </c>
      <c r="O37" s="612">
        <f t="shared" si="8"/>
        <v>0</v>
      </c>
      <c r="P37" s="613" t="e">
        <f t="shared" si="9"/>
        <v>#N/A</v>
      </c>
      <c r="Q37" s="424" t="e">
        <f t="shared" si="10"/>
        <v>#N/A</v>
      </c>
      <c r="R37" s="611" t="e">
        <f t="shared" si="11"/>
        <v>#N/A</v>
      </c>
      <c r="S37" s="484">
        <f t="shared" si="12"/>
        <v>0</v>
      </c>
      <c r="T37" s="374">
        <f t="shared" si="13"/>
      </c>
      <c r="U37" s="374">
        <f t="shared" si="14"/>
      </c>
      <c r="AD37" s="425"/>
    </row>
    <row r="38" spans="1:30" ht="12.75">
      <c r="A38" s="840"/>
      <c r="B38" s="837"/>
      <c r="C38" s="838"/>
      <c r="D38" s="827"/>
      <c r="E38" s="588" t="e">
        <f t="shared" si="3"/>
        <v>#N/A</v>
      </c>
      <c r="F38" s="834"/>
      <c r="G38" s="835"/>
      <c r="H38" s="831"/>
      <c r="I38" s="481" t="e">
        <f t="shared" si="4"/>
        <v>#N/A</v>
      </c>
      <c r="J38" s="834"/>
      <c r="K38" s="482">
        <f t="shared" si="15"/>
        <v>0</v>
      </c>
      <c r="L38" s="483" t="e">
        <f t="shared" si="5"/>
        <v>#DIV/0!</v>
      </c>
      <c r="M38" s="483" t="str">
        <f t="shared" si="6"/>
        <v>NA</v>
      </c>
      <c r="N38" s="600" t="b">
        <f t="shared" si="7"/>
        <v>0</v>
      </c>
      <c r="O38" s="612">
        <f t="shared" si="8"/>
        <v>0</v>
      </c>
      <c r="P38" s="613" t="e">
        <f t="shared" si="9"/>
        <v>#N/A</v>
      </c>
      <c r="Q38" s="424" t="e">
        <f t="shared" si="10"/>
        <v>#N/A</v>
      </c>
      <c r="R38" s="611" t="e">
        <f t="shared" si="11"/>
        <v>#N/A</v>
      </c>
      <c r="S38" s="484">
        <f t="shared" si="12"/>
        <v>0</v>
      </c>
      <c r="T38" s="374">
        <f t="shared" si="13"/>
      </c>
      <c r="U38" s="374">
        <f t="shared" si="14"/>
      </c>
      <c r="AD38" s="399"/>
    </row>
    <row r="39" spans="1:30" ht="12.75">
      <c r="A39" s="840"/>
      <c r="B39" s="837"/>
      <c r="C39" s="838"/>
      <c r="D39" s="827"/>
      <c r="E39" s="588" t="e">
        <f t="shared" si="3"/>
        <v>#N/A</v>
      </c>
      <c r="F39" s="834"/>
      <c r="G39" s="835"/>
      <c r="H39" s="831"/>
      <c r="I39" s="481" t="e">
        <f t="shared" si="4"/>
        <v>#N/A</v>
      </c>
      <c r="J39" s="834"/>
      <c r="K39" s="482">
        <f t="shared" si="15"/>
        <v>0</v>
      </c>
      <c r="L39" s="483" t="e">
        <f t="shared" si="5"/>
        <v>#DIV/0!</v>
      </c>
      <c r="M39" s="483" t="str">
        <f t="shared" si="6"/>
        <v>NA</v>
      </c>
      <c r="N39" s="600" t="b">
        <f t="shared" si="7"/>
        <v>0</v>
      </c>
      <c r="O39" s="612">
        <f t="shared" si="8"/>
        <v>0</v>
      </c>
      <c r="P39" s="613" t="e">
        <f t="shared" si="9"/>
        <v>#N/A</v>
      </c>
      <c r="Q39" s="424" t="e">
        <f t="shared" si="10"/>
        <v>#N/A</v>
      </c>
      <c r="R39" s="611" t="e">
        <f t="shared" si="11"/>
        <v>#N/A</v>
      </c>
      <c r="S39" s="484">
        <f t="shared" si="12"/>
        <v>0</v>
      </c>
      <c r="T39" s="374">
        <f t="shared" si="13"/>
      </c>
      <c r="U39" s="374">
        <f t="shared" si="14"/>
      </c>
      <c r="AD39" s="399"/>
    </row>
    <row r="40" spans="1:30" ht="12.75">
      <c r="A40" s="840"/>
      <c r="B40" s="837"/>
      <c r="C40" s="838"/>
      <c r="D40" s="827"/>
      <c r="E40" s="588" t="e">
        <f t="shared" si="3"/>
        <v>#N/A</v>
      </c>
      <c r="F40" s="834"/>
      <c r="G40" s="835"/>
      <c r="H40" s="831"/>
      <c r="I40" s="481" t="e">
        <f t="shared" si="4"/>
        <v>#N/A</v>
      </c>
      <c r="J40" s="834"/>
      <c r="K40" s="482">
        <f t="shared" si="15"/>
        <v>0</v>
      </c>
      <c r="L40" s="483" t="e">
        <f t="shared" si="5"/>
        <v>#DIV/0!</v>
      </c>
      <c r="M40" s="483" t="str">
        <f t="shared" si="6"/>
        <v>NA</v>
      </c>
      <c r="N40" s="600" t="b">
        <f t="shared" si="7"/>
        <v>0</v>
      </c>
      <c r="O40" s="612">
        <f t="shared" si="8"/>
        <v>0</v>
      </c>
      <c r="P40" s="613" t="e">
        <f t="shared" si="9"/>
        <v>#N/A</v>
      </c>
      <c r="Q40" s="424" t="e">
        <f t="shared" si="10"/>
        <v>#N/A</v>
      </c>
      <c r="R40" s="611" t="e">
        <f t="shared" si="11"/>
        <v>#N/A</v>
      </c>
      <c r="S40" s="484">
        <f t="shared" si="12"/>
        <v>0</v>
      </c>
      <c r="T40" s="374">
        <f t="shared" si="13"/>
      </c>
      <c r="U40" s="374">
        <f t="shared" si="14"/>
      </c>
      <c r="AD40" s="399"/>
    </row>
    <row r="41" spans="1:30" ht="12.75">
      <c r="A41" s="841"/>
      <c r="B41" s="842"/>
      <c r="C41" s="827"/>
      <c r="D41" s="827"/>
      <c r="E41" s="588" t="e">
        <f t="shared" si="3"/>
        <v>#N/A</v>
      </c>
      <c r="F41" s="831"/>
      <c r="G41" s="831"/>
      <c r="H41" s="831"/>
      <c r="I41" s="481" t="e">
        <f t="shared" si="4"/>
        <v>#N/A</v>
      </c>
      <c r="J41" s="834"/>
      <c r="K41" s="482">
        <f t="shared" si="15"/>
        <v>0</v>
      </c>
      <c r="L41" s="483" t="e">
        <f t="shared" si="5"/>
        <v>#DIV/0!</v>
      </c>
      <c r="M41" s="483" t="str">
        <f t="shared" si="6"/>
        <v>NA</v>
      </c>
      <c r="N41" s="600" t="b">
        <f t="shared" si="7"/>
        <v>0</v>
      </c>
      <c r="O41" s="612">
        <f t="shared" si="8"/>
        <v>0</v>
      </c>
      <c r="P41" s="613" t="e">
        <f t="shared" si="9"/>
        <v>#N/A</v>
      </c>
      <c r="Q41" s="424" t="e">
        <f t="shared" si="10"/>
        <v>#N/A</v>
      </c>
      <c r="R41" s="611" t="e">
        <f t="shared" si="11"/>
        <v>#N/A</v>
      </c>
      <c r="S41" s="484">
        <f t="shared" si="12"/>
        <v>0</v>
      </c>
      <c r="T41" s="374">
        <f t="shared" si="13"/>
      </c>
      <c r="U41" s="374">
        <f t="shared" si="14"/>
      </c>
      <c r="AD41" s="399"/>
    </row>
    <row r="42" spans="1:30" ht="12.75">
      <c r="A42" s="841"/>
      <c r="B42" s="842"/>
      <c r="C42" s="827"/>
      <c r="D42" s="827"/>
      <c r="E42" s="588" t="e">
        <f t="shared" si="3"/>
        <v>#N/A</v>
      </c>
      <c r="F42" s="831"/>
      <c r="G42" s="831"/>
      <c r="H42" s="831"/>
      <c r="I42" s="481" t="e">
        <f t="shared" si="4"/>
        <v>#N/A</v>
      </c>
      <c r="J42" s="834"/>
      <c r="K42" s="482">
        <f t="shared" si="15"/>
        <v>0</v>
      </c>
      <c r="L42" s="483" t="e">
        <f t="shared" si="5"/>
        <v>#DIV/0!</v>
      </c>
      <c r="M42" s="483" t="str">
        <f t="shared" si="6"/>
        <v>NA</v>
      </c>
      <c r="N42" s="600" t="b">
        <f t="shared" si="7"/>
        <v>0</v>
      </c>
      <c r="O42" s="612">
        <f t="shared" si="8"/>
        <v>0</v>
      </c>
      <c r="P42" s="613" t="e">
        <f t="shared" si="9"/>
        <v>#N/A</v>
      </c>
      <c r="Q42" s="424" t="e">
        <f t="shared" si="10"/>
        <v>#N/A</v>
      </c>
      <c r="R42" s="611" t="e">
        <f t="shared" si="11"/>
        <v>#N/A</v>
      </c>
      <c r="S42" s="484">
        <f t="shared" si="12"/>
        <v>0</v>
      </c>
      <c r="T42" s="374">
        <f t="shared" si="13"/>
      </c>
      <c r="U42" s="374">
        <f t="shared" si="14"/>
      </c>
      <c r="AD42" s="399"/>
    </row>
    <row r="43" spans="1:30" ht="12.75">
      <c r="A43" s="841"/>
      <c r="B43" s="842"/>
      <c r="C43" s="827"/>
      <c r="D43" s="827"/>
      <c r="E43" s="588" t="e">
        <f t="shared" si="3"/>
        <v>#N/A</v>
      </c>
      <c r="F43" s="831"/>
      <c r="G43" s="831"/>
      <c r="H43" s="831"/>
      <c r="I43" s="481" t="e">
        <f t="shared" si="4"/>
        <v>#N/A</v>
      </c>
      <c r="J43" s="834"/>
      <c r="K43" s="482">
        <f t="shared" si="15"/>
        <v>0</v>
      </c>
      <c r="L43" s="483" t="e">
        <f t="shared" si="5"/>
        <v>#DIV/0!</v>
      </c>
      <c r="M43" s="483" t="str">
        <f t="shared" si="6"/>
        <v>NA</v>
      </c>
      <c r="N43" s="600" t="b">
        <f t="shared" si="7"/>
        <v>0</v>
      </c>
      <c r="O43" s="612">
        <f t="shared" si="8"/>
        <v>0</v>
      </c>
      <c r="P43" s="613" t="e">
        <f t="shared" si="9"/>
        <v>#N/A</v>
      </c>
      <c r="Q43" s="424" t="e">
        <f t="shared" si="10"/>
        <v>#N/A</v>
      </c>
      <c r="R43" s="611" t="e">
        <f t="shared" si="11"/>
        <v>#N/A</v>
      </c>
      <c r="S43" s="484">
        <f t="shared" si="12"/>
        <v>0</v>
      </c>
      <c r="T43" s="374">
        <f t="shared" si="13"/>
      </c>
      <c r="U43" s="374">
        <f t="shared" si="14"/>
      </c>
      <c r="AD43" s="399"/>
    </row>
    <row r="44" spans="1:30" ht="12.75">
      <c r="A44" s="841"/>
      <c r="B44" s="842"/>
      <c r="C44" s="827"/>
      <c r="D44" s="827"/>
      <c r="E44" s="588" t="e">
        <f t="shared" si="3"/>
        <v>#N/A</v>
      </c>
      <c r="F44" s="831"/>
      <c r="G44" s="831"/>
      <c r="H44" s="831"/>
      <c r="I44" s="481" t="e">
        <f t="shared" si="4"/>
        <v>#N/A</v>
      </c>
      <c r="J44" s="834"/>
      <c r="K44" s="482">
        <f t="shared" si="15"/>
        <v>0</v>
      </c>
      <c r="L44" s="483" t="e">
        <f t="shared" si="5"/>
        <v>#DIV/0!</v>
      </c>
      <c r="M44" s="483" t="str">
        <f t="shared" si="6"/>
        <v>NA</v>
      </c>
      <c r="N44" s="600" t="b">
        <f t="shared" si="7"/>
        <v>0</v>
      </c>
      <c r="O44" s="612">
        <f t="shared" si="8"/>
        <v>0</v>
      </c>
      <c r="P44" s="613" t="e">
        <f t="shared" si="9"/>
        <v>#N/A</v>
      </c>
      <c r="Q44" s="424" t="e">
        <f t="shared" si="10"/>
        <v>#N/A</v>
      </c>
      <c r="R44" s="611" t="e">
        <f t="shared" si="11"/>
        <v>#N/A</v>
      </c>
      <c r="S44" s="484">
        <f t="shared" si="12"/>
        <v>0</v>
      </c>
      <c r="T44" s="374">
        <f t="shared" si="13"/>
      </c>
      <c r="U44" s="374">
        <f t="shared" si="14"/>
      </c>
      <c r="AD44" s="399"/>
    </row>
    <row r="45" spans="1:21" ht="12.75">
      <c r="A45" s="843"/>
      <c r="B45" s="842"/>
      <c r="C45" s="827"/>
      <c r="D45" s="827"/>
      <c r="E45" s="588" t="e">
        <f t="shared" si="3"/>
        <v>#N/A</v>
      </c>
      <c r="F45" s="831"/>
      <c r="G45" s="831"/>
      <c r="H45" s="831"/>
      <c r="I45" s="481" t="e">
        <f t="shared" si="4"/>
        <v>#N/A</v>
      </c>
      <c r="J45" s="834"/>
      <c r="K45" s="482">
        <f t="shared" si="15"/>
        <v>0</v>
      </c>
      <c r="L45" s="483" t="e">
        <f t="shared" si="5"/>
        <v>#DIV/0!</v>
      </c>
      <c r="M45" s="483" t="str">
        <f t="shared" si="6"/>
        <v>NA</v>
      </c>
      <c r="N45" s="600" t="b">
        <f t="shared" si="7"/>
        <v>0</v>
      </c>
      <c r="O45" s="612">
        <f t="shared" si="8"/>
        <v>0</v>
      </c>
      <c r="P45" s="613" t="e">
        <f t="shared" si="9"/>
        <v>#N/A</v>
      </c>
      <c r="Q45" s="424" t="e">
        <f t="shared" si="10"/>
        <v>#N/A</v>
      </c>
      <c r="R45" s="611" t="e">
        <f t="shared" si="11"/>
        <v>#N/A</v>
      </c>
      <c r="S45" s="484">
        <f t="shared" si="12"/>
        <v>0</v>
      </c>
      <c r="T45" s="374">
        <f t="shared" si="13"/>
      </c>
      <c r="U45" s="374">
        <f t="shared" si="14"/>
      </c>
    </row>
    <row r="46" spans="1:21" ht="12.75">
      <c r="A46" s="844"/>
      <c r="B46" s="842"/>
      <c r="C46" s="827"/>
      <c r="D46" s="827"/>
      <c r="E46" s="588" t="e">
        <f t="shared" si="3"/>
        <v>#N/A</v>
      </c>
      <c r="F46" s="831"/>
      <c r="G46" s="831"/>
      <c r="H46" s="831"/>
      <c r="I46" s="481" t="e">
        <f t="shared" si="4"/>
        <v>#N/A</v>
      </c>
      <c r="J46" s="834"/>
      <c r="K46" s="482">
        <f t="shared" si="15"/>
        <v>0</v>
      </c>
      <c r="L46" s="483" t="e">
        <f t="shared" si="5"/>
        <v>#DIV/0!</v>
      </c>
      <c r="M46" s="483" t="str">
        <f t="shared" si="6"/>
        <v>NA</v>
      </c>
      <c r="N46" s="600" t="b">
        <f t="shared" si="7"/>
        <v>0</v>
      </c>
      <c r="O46" s="612">
        <f t="shared" si="8"/>
        <v>0</v>
      </c>
      <c r="P46" s="613" t="e">
        <f t="shared" si="9"/>
        <v>#N/A</v>
      </c>
      <c r="Q46" s="424" t="e">
        <f t="shared" si="10"/>
        <v>#N/A</v>
      </c>
      <c r="R46" s="611" t="e">
        <f t="shared" si="11"/>
        <v>#N/A</v>
      </c>
      <c r="S46" s="484">
        <f t="shared" si="12"/>
        <v>0</v>
      </c>
      <c r="T46" s="374">
        <f t="shared" si="13"/>
      </c>
      <c r="U46" s="374">
        <f t="shared" si="14"/>
      </c>
    </row>
    <row r="47" spans="1:21" ht="12.75">
      <c r="A47" s="841"/>
      <c r="B47" s="842"/>
      <c r="C47" s="827"/>
      <c r="D47" s="827"/>
      <c r="E47" s="588" t="e">
        <f t="shared" si="3"/>
        <v>#N/A</v>
      </c>
      <c r="F47" s="831"/>
      <c r="G47" s="831"/>
      <c r="H47" s="831"/>
      <c r="I47" s="481" t="e">
        <f t="shared" si="4"/>
        <v>#N/A</v>
      </c>
      <c r="J47" s="834"/>
      <c r="K47" s="482">
        <f t="shared" si="15"/>
        <v>0</v>
      </c>
      <c r="L47" s="483" t="e">
        <f t="shared" si="5"/>
        <v>#DIV/0!</v>
      </c>
      <c r="M47" s="483" t="str">
        <f t="shared" si="6"/>
        <v>NA</v>
      </c>
      <c r="N47" s="600" t="b">
        <f t="shared" si="7"/>
        <v>0</v>
      </c>
      <c r="O47" s="612">
        <f t="shared" si="8"/>
        <v>0</v>
      </c>
      <c r="P47" s="613" t="e">
        <f t="shared" si="9"/>
        <v>#N/A</v>
      </c>
      <c r="Q47" s="424" t="e">
        <f t="shared" si="10"/>
        <v>#N/A</v>
      </c>
      <c r="R47" s="611" t="e">
        <f t="shared" si="11"/>
        <v>#N/A</v>
      </c>
      <c r="S47" s="484">
        <f t="shared" si="12"/>
        <v>0</v>
      </c>
      <c r="T47" s="374">
        <f t="shared" si="13"/>
      </c>
      <c r="U47" s="374">
        <f t="shared" si="14"/>
      </c>
    </row>
    <row r="48" spans="1:21" ht="12.75">
      <c r="A48" s="841"/>
      <c r="B48" s="842"/>
      <c r="C48" s="827"/>
      <c r="D48" s="827"/>
      <c r="E48" s="588" t="e">
        <f t="shared" si="3"/>
        <v>#N/A</v>
      </c>
      <c r="F48" s="831"/>
      <c r="G48" s="831"/>
      <c r="H48" s="831"/>
      <c r="I48" s="481" t="e">
        <f t="shared" si="4"/>
        <v>#N/A</v>
      </c>
      <c r="J48" s="834"/>
      <c r="K48" s="482">
        <f t="shared" si="15"/>
        <v>0</v>
      </c>
      <c r="L48" s="483" t="e">
        <f t="shared" si="5"/>
        <v>#DIV/0!</v>
      </c>
      <c r="M48" s="483" t="str">
        <f t="shared" si="6"/>
        <v>NA</v>
      </c>
      <c r="N48" s="600" t="b">
        <f t="shared" si="7"/>
        <v>0</v>
      </c>
      <c r="O48" s="612">
        <f t="shared" si="8"/>
        <v>0</v>
      </c>
      <c r="P48" s="613" t="e">
        <f t="shared" si="9"/>
        <v>#N/A</v>
      </c>
      <c r="Q48" s="424" t="e">
        <f t="shared" si="10"/>
        <v>#N/A</v>
      </c>
      <c r="R48" s="611" t="e">
        <f t="shared" si="11"/>
        <v>#N/A</v>
      </c>
      <c r="S48" s="484">
        <f t="shared" si="12"/>
        <v>0</v>
      </c>
      <c r="T48" s="374">
        <f t="shared" si="13"/>
      </c>
      <c r="U48" s="374">
        <f t="shared" si="14"/>
      </c>
    </row>
    <row r="49" spans="1:21" ht="12.75">
      <c r="A49" s="845"/>
      <c r="B49" s="842"/>
      <c r="C49" s="827"/>
      <c r="D49" s="827"/>
      <c r="E49" s="588" t="e">
        <f t="shared" si="3"/>
        <v>#N/A</v>
      </c>
      <c r="F49" s="831"/>
      <c r="G49" s="831"/>
      <c r="H49" s="831"/>
      <c r="I49" s="481" t="e">
        <f t="shared" si="4"/>
        <v>#N/A</v>
      </c>
      <c r="J49" s="834"/>
      <c r="K49" s="482">
        <f t="shared" si="15"/>
        <v>0</v>
      </c>
      <c r="L49" s="483" t="e">
        <f t="shared" si="5"/>
        <v>#DIV/0!</v>
      </c>
      <c r="M49" s="483" t="str">
        <f t="shared" si="6"/>
        <v>NA</v>
      </c>
      <c r="N49" s="600" t="b">
        <f t="shared" si="7"/>
        <v>0</v>
      </c>
      <c r="O49" s="612">
        <f t="shared" si="8"/>
        <v>0</v>
      </c>
      <c r="P49" s="613" t="e">
        <f t="shared" si="9"/>
        <v>#N/A</v>
      </c>
      <c r="Q49" s="424" t="e">
        <f t="shared" si="10"/>
        <v>#N/A</v>
      </c>
      <c r="R49" s="611" t="e">
        <f t="shared" si="11"/>
        <v>#N/A</v>
      </c>
      <c r="S49" s="484">
        <f t="shared" si="12"/>
        <v>0</v>
      </c>
      <c r="T49" s="374">
        <f t="shared" si="13"/>
      </c>
      <c r="U49" s="374">
        <f t="shared" si="14"/>
      </c>
    </row>
    <row r="50" spans="1:21" ht="12.75">
      <c r="A50" s="845"/>
      <c r="B50" s="842"/>
      <c r="C50" s="827"/>
      <c r="D50" s="827"/>
      <c r="E50" s="588" t="e">
        <f t="shared" si="3"/>
        <v>#N/A</v>
      </c>
      <c r="F50" s="831"/>
      <c r="G50" s="831"/>
      <c r="H50" s="831"/>
      <c r="I50" s="481" t="e">
        <f t="shared" si="4"/>
        <v>#N/A</v>
      </c>
      <c r="J50" s="834"/>
      <c r="K50" s="482">
        <f t="shared" si="15"/>
        <v>0</v>
      </c>
      <c r="L50" s="483" t="e">
        <f t="shared" si="5"/>
        <v>#DIV/0!</v>
      </c>
      <c r="M50" s="483" t="str">
        <f t="shared" si="6"/>
        <v>NA</v>
      </c>
      <c r="N50" s="600" t="b">
        <f t="shared" si="7"/>
        <v>0</v>
      </c>
      <c r="O50" s="612">
        <f t="shared" si="8"/>
        <v>0</v>
      </c>
      <c r="P50" s="613" t="e">
        <f t="shared" si="9"/>
        <v>#N/A</v>
      </c>
      <c r="Q50" s="424" t="e">
        <f t="shared" si="10"/>
        <v>#N/A</v>
      </c>
      <c r="R50" s="611" t="e">
        <f t="shared" si="11"/>
        <v>#N/A</v>
      </c>
      <c r="S50" s="484">
        <f t="shared" si="12"/>
        <v>0</v>
      </c>
      <c r="T50" s="374">
        <f t="shared" si="13"/>
      </c>
      <c r="U50" s="374">
        <f t="shared" si="14"/>
      </c>
    </row>
    <row r="51" spans="1:21" ht="12.75">
      <c r="A51" s="832"/>
      <c r="B51" s="842"/>
      <c r="C51" s="827"/>
      <c r="D51" s="827"/>
      <c r="E51" s="588" t="e">
        <f t="shared" si="3"/>
        <v>#N/A</v>
      </c>
      <c r="F51" s="831"/>
      <c r="G51" s="831"/>
      <c r="H51" s="831"/>
      <c r="I51" s="481" t="e">
        <f t="shared" si="4"/>
        <v>#N/A</v>
      </c>
      <c r="J51" s="834"/>
      <c r="K51" s="482">
        <f t="shared" si="15"/>
        <v>0</v>
      </c>
      <c r="L51" s="483" t="e">
        <f t="shared" si="5"/>
        <v>#DIV/0!</v>
      </c>
      <c r="M51" s="483" t="str">
        <f t="shared" si="6"/>
        <v>NA</v>
      </c>
      <c r="N51" s="600" t="b">
        <f t="shared" si="7"/>
        <v>0</v>
      </c>
      <c r="O51" s="612">
        <f t="shared" si="8"/>
        <v>0</v>
      </c>
      <c r="P51" s="613" t="e">
        <f t="shared" si="9"/>
        <v>#N/A</v>
      </c>
      <c r="Q51" s="424" t="e">
        <f t="shared" si="10"/>
        <v>#N/A</v>
      </c>
      <c r="R51" s="611" t="e">
        <f t="shared" si="11"/>
        <v>#N/A</v>
      </c>
      <c r="S51" s="484">
        <f t="shared" si="12"/>
        <v>0</v>
      </c>
      <c r="T51" s="374">
        <f t="shared" si="13"/>
      </c>
      <c r="U51" s="374">
        <f t="shared" si="14"/>
      </c>
    </row>
    <row r="52" spans="1:21" ht="12.75">
      <c r="A52" s="832"/>
      <c r="B52" s="842"/>
      <c r="C52" s="846"/>
      <c r="D52" s="827"/>
      <c r="E52" s="588" t="e">
        <f t="shared" si="3"/>
        <v>#N/A</v>
      </c>
      <c r="F52" s="831"/>
      <c r="G52" s="831"/>
      <c r="H52" s="831"/>
      <c r="I52" s="481" t="e">
        <f t="shared" si="4"/>
        <v>#N/A</v>
      </c>
      <c r="J52" s="834"/>
      <c r="K52" s="482">
        <f t="shared" si="15"/>
        <v>0</v>
      </c>
      <c r="L52" s="483" t="e">
        <f t="shared" si="5"/>
        <v>#DIV/0!</v>
      </c>
      <c r="M52" s="483" t="str">
        <f t="shared" si="6"/>
        <v>NA</v>
      </c>
      <c r="N52" s="600" t="b">
        <f t="shared" si="7"/>
        <v>0</v>
      </c>
      <c r="O52" s="612">
        <f t="shared" si="8"/>
        <v>0</v>
      </c>
      <c r="P52" s="613" t="e">
        <f t="shared" si="9"/>
        <v>#N/A</v>
      </c>
      <c r="Q52" s="424" t="e">
        <f t="shared" si="10"/>
        <v>#N/A</v>
      </c>
      <c r="R52" s="611" t="e">
        <f t="shared" si="11"/>
        <v>#N/A</v>
      </c>
      <c r="S52" s="484">
        <f t="shared" si="12"/>
        <v>0</v>
      </c>
      <c r="T52" s="374">
        <f t="shared" si="13"/>
      </c>
      <c r="U52" s="374">
        <f t="shared" si="14"/>
      </c>
    </row>
    <row r="53" spans="1:21" ht="12.75">
      <c r="A53" s="832"/>
      <c r="B53" s="842"/>
      <c r="C53" s="827"/>
      <c r="D53" s="827"/>
      <c r="E53" s="588" t="e">
        <f t="shared" si="3"/>
        <v>#N/A</v>
      </c>
      <c r="F53" s="831"/>
      <c r="G53" s="831"/>
      <c r="H53" s="831"/>
      <c r="I53" s="481" t="e">
        <f t="shared" si="4"/>
        <v>#N/A</v>
      </c>
      <c r="J53" s="834"/>
      <c r="K53" s="482">
        <f t="shared" si="15"/>
        <v>0</v>
      </c>
      <c r="L53" s="483" t="e">
        <f t="shared" si="5"/>
        <v>#DIV/0!</v>
      </c>
      <c r="M53" s="483" t="str">
        <f t="shared" si="6"/>
        <v>NA</v>
      </c>
      <c r="N53" s="600" t="b">
        <f t="shared" si="7"/>
        <v>0</v>
      </c>
      <c r="O53" s="612">
        <f t="shared" si="8"/>
        <v>0</v>
      </c>
      <c r="P53" s="613" t="e">
        <f t="shared" si="9"/>
        <v>#N/A</v>
      </c>
      <c r="Q53" s="424" t="e">
        <f t="shared" si="10"/>
        <v>#N/A</v>
      </c>
      <c r="R53" s="611" t="e">
        <f t="shared" si="11"/>
        <v>#N/A</v>
      </c>
      <c r="S53" s="484">
        <f t="shared" si="12"/>
        <v>0</v>
      </c>
      <c r="T53" s="374">
        <f t="shared" si="13"/>
      </c>
      <c r="U53" s="374">
        <f t="shared" si="14"/>
      </c>
    </row>
    <row r="54" spans="1:21" ht="12.75">
      <c r="A54" s="832"/>
      <c r="B54" s="842"/>
      <c r="C54" s="827"/>
      <c r="D54" s="827"/>
      <c r="E54" s="588" t="e">
        <f t="shared" si="3"/>
        <v>#N/A</v>
      </c>
      <c r="F54" s="831"/>
      <c r="G54" s="831"/>
      <c r="H54" s="831"/>
      <c r="I54" s="481" t="e">
        <f t="shared" si="4"/>
        <v>#N/A</v>
      </c>
      <c r="J54" s="834"/>
      <c r="K54" s="482">
        <f t="shared" si="15"/>
        <v>0</v>
      </c>
      <c r="L54" s="483" t="e">
        <f t="shared" si="5"/>
        <v>#DIV/0!</v>
      </c>
      <c r="M54" s="483" t="str">
        <f t="shared" si="6"/>
        <v>NA</v>
      </c>
      <c r="N54" s="600" t="b">
        <f t="shared" si="7"/>
        <v>0</v>
      </c>
      <c r="O54" s="612">
        <f t="shared" si="8"/>
        <v>0</v>
      </c>
      <c r="P54" s="613" t="e">
        <f t="shared" si="9"/>
        <v>#N/A</v>
      </c>
      <c r="Q54" s="424" t="e">
        <f t="shared" si="10"/>
        <v>#N/A</v>
      </c>
      <c r="R54" s="611" t="e">
        <f t="shared" si="11"/>
        <v>#N/A</v>
      </c>
      <c r="S54" s="484">
        <f t="shared" si="12"/>
        <v>0</v>
      </c>
      <c r="T54" s="374">
        <f t="shared" si="13"/>
      </c>
      <c r="U54" s="374">
        <f t="shared" si="14"/>
      </c>
    </row>
    <row r="55" spans="1:21" ht="12.75">
      <c r="A55" s="832"/>
      <c r="B55" s="842"/>
      <c r="C55" s="827"/>
      <c r="D55" s="827"/>
      <c r="E55" s="588" t="e">
        <f t="shared" si="3"/>
        <v>#N/A</v>
      </c>
      <c r="F55" s="831"/>
      <c r="G55" s="831"/>
      <c r="H55" s="831"/>
      <c r="I55" s="481" t="e">
        <f t="shared" si="4"/>
        <v>#N/A</v>
      </c>
      <c r="J55" s="834"/>
      <c r="K55" s="482">
        <f t="shared" si="15"/>
        <v>0</v>
      </c>
      <c r="L55" s="483" t="e">
        <f t="shared" si="5"/>
        <v>#DIV/0!</v>
      </c>
      <c r="M55" s="483" t="str">
        <f t="shared" si="6"/>
        <v>NA</v>
      </c>
      <c r="N55" s="600" t="b">
        <f t="shared" si="7"/>
        <v>0</v>
      </c>
      <c r="O55" s="612">
        <f t="shared" si="8"/>
        <v>0</v>
      </c>
      <c r="P55" s="613" t="e">
        <f t="shared" si="9"/>
        <v>#N/A</v>
      </c>
      <c r="Q55" s="424" t="e">
        <f t="shared" si="10"/>
        <v>#N/A</v>
      </c>
      <c r="R55" s="611" t="e">
        <f t="shared" si="11"/>
        <v>#N/A</v>
      </c>
      <c r="S55" s="484">
        <f t="shared" si="12"/>
        <v>0</v>
      </c>
      <c r="T55" s="374">
        <f t="shared" si="13"/>
      </c>
      <c r="U55" s="374">
        <f t="shared" si="14"/>
      </c>
    </row>
    <row r="56" spans="1:21" ht="12.75">
      <c r="A56" s="832"/>
      <c r="B56" s="842"/>
      <c r="C56" s="827"/>
      <c r="D56" s="827"/>
      <c r="E56" s="588" t="e">
        <f t="shared" si="3"/>
        <v>#N/A</v>
      </c>
      <c r="F56" s="831"/>
      <c r="G56" s="831"/>
      <c r="H56" s="831"/>
      <c r="I56" s="481" t="e">
        <f t="shared" si="4"/>
        <v>#N/A</v>
      </c>
      <c r="J56" s="834"/>
      <c r="K56" s="482">
        <f t="shared" si="15"/>
        <v>0</v>
      </c>
      <c r="L56" s="483" t="e">
        <f t="shared" si="5"/>
        <v>#DIV/0!</v>
      </c>
      <c r="M56" s="483" t="str">
        <f t="shared" si="6"/>
        <v>NA</v>
      </c>
      <c r="N56" s="600" t="b">
        <f t="shared" si="7"/>
        <v>0</v>
      </c>
      <c r="O56" s="612">
        <f t="shared" si="8"/>
        <v>0</v>
      </c>
      <c r="P56" s="613" t="e">
        <f t="shared" si="9"/>
        <v>#N/A</v>
      </c>
      <c r="Q56" s="424" t="e">
        <f t="shared" si="10"/>
        <v>#N/A</v>
      </c>
      <c r="R56" s="611" t="e">
        <f t="shared" si="11"/>
        <v>#N/A</v>
      </c>
      <c r="S56" s="484">
        <f t="shared" si="12"/>
        <v>0</v>
      </c>
      <c r="T56" s="374">
        <f t="shared" si="13"/>
      </c>
      <c r="U56" s="374">
        <f t="shared" si="14"/>
      </c>
    </row>
    <row r="57" spans="1:21" ht="12.75">
      <c r="A57" s="832"/>
      <c r="B57" s="842"/>
      <c r="C57" s="827"/>
      <c r="D57" s="827"/>
      <c r="E57" s="588" t="e">
        <f t="shared" si="3"/>
        <v>#N/A</v>
      </c>
      <c r="F57" s="831"/>
      <c r="G57" s="831"/>
      <c r="H57" s="831"/>
      <c r="I57" s="481" t="e">
        <f t="shared" si="4"/>
        <v>#N/A</v>
      </c>
      <c r="J57" s="834"/>
      <c r="K57" s="482">
        <f t="shared" si="15"/>
        <v>0</v>
      </c>
      <c r="L57" s="483" t="e">
        <f t="shared" si="5"/>
        <v>#DIV/0!</v>
      </c>
      <c r="M57" s="483" t="str">
        <f t="shared" si="6"/>
        <v>NA</v>
      </c>
      <c r="N57" s="600" t="b">
        <f t="shared" si="7"/>
        <v>0</v>
      </c>
      <c r="O57" s="612">
        <f t="shared" si="8"/>
        <v>0</v>
      </c>
      <c r="P57" s="613" t="e">
        <f t="shared" si="9"/>
        <v>#N/A</v>
      </c>
      <c r="Q57" s="424" t="e">
        <f t="shared" si="10"/>
        <v>#N/A</v>
      </c>
      <c r="R57" s="611" t="e">
        <f t="shared" si="11"/>
        <v>#N/A</v>
      </c>
      <c r="S57" s="484">
        <f t="shared" si="12"/>
        <v>0</v>
      </c>
      <c r="T57" s="374">
        <f t="shared" si="13"/>
      </c>
      <c r="U57" s="374">
        <f t="shared" si="14"/>
      </c>
    </row>
    <row r="58" spans="1:21" ht="12.75">
      <c r="A58" s="832"/>
      <c r="B58" s="842"/>
      <c r="C58" s="846"/>
      <c r="D58" s="827"/>
      <c r="E58" s="588" t="e">
        <f t="shared" si="3"/>
        <v>#N/A</v>
      </c>
      <c r="F58" s="831"/>
      <c r="G58" s="831"/>
      <c r="H58" s="831"/>
      <c r="I58" s="481" t="e">
        <f t="shared" si="4"/>
        <v>#N/A</v>
      </c>
      <c r="J58" s="834"/>
      <c r="K58" s="482">
        <f t="shared" si="15"/>
        <v>0</v>
      </c>
      <c r="L58" s="483" t="e">
        <f t="shared" si="5"/>
        <v>#DIV/0!</v>
      </c>
      <c r="M58" s="483" t="str">
        <f t="shared" si="6"/>
        <v>NA</v>
      </c>
      <c r="N58" s="600" t="b">
        <f t="shared" si="7"/>
        <v>0</v>
      </c>
      <c r="O58" s="612">
        <f t="shared" si="8"/>
        <v>0</v>
      </c>
      <c r="P58" s="613" t="e">
        <f t="shared" si="9"/>
        <v>#N/A</v>
      </c>
      <c r="Q58" s="424" t="e">
        <f t="shared" si="10"/>
        <v>#N/A</v>
      </c>
      <c r="R58" s="611" t="e">
        <f t="shared" si="11"/>
        <v>#N/A</v>
      </c>
      <c r="S58" s="484">
        <f t="shared" si="12"/>
        <v>0</v>
      </c>
      <c r="T58" s="374">
        <f t="shared" si="13"/>
      </c>
      <c r="U58" s="374">
        <f t="shared" si="14"/>
      </c>
    </row>
    <row r="59" spans="1:21" ht="12.75">
      <c r="A59" s="832"/>
      <c r="B59" s="842"/>
      <c r="C59" s="827"/>
      <c r="D59" s="827"/>
      <c r="E59" s="588" t="e">
        <f t="shared" si="3"/>
        <v>#N/A</v>
      </c>
      <c r="F59" s="831"/>
      <c r="G59" s="831"/>
      <c r="H59" s="831"/>
      <c r="I59" s="481" t="e">
        <f t="shared" si="4"/>
        <v>#N/A</v>
      </c>
      <c r="J59" s="834"/>
      <c r="K59" s="482">
        <f t="shared" si="15"/>
        <v>0</v>
      </c>
      <c r="L59" s="483" t="e">
        <f t="shared" si="5"/>
        <v>#DIV/0!</v>
      </c>
      <c r="M59" s="483" t="str">
        <f t="shared" si="6"/>
        <v>NA</v>
      </c>
      <c r="N59" s="600" t="b">
        <f t="shared" si="7"/>
        <v>0</v>
      </c>
      <c r="O59" s="612">
        <f t="shared" si="8"/>
        <v>0</v>
      </c>
      <c r="P59" s="613" t="e">
        <f t="shared" si="9"/>
        <v>#N/A</v>
      </c>
      <c r="Q59" s="424" t="e">
        <f t="shared" si="10"/>
        <v>#N/A</v>
      </c>
      <c r="R59" s="611" t="e">
        <f t="shared" si="11"/>
        <v>#N/A</v>
      </c>
      <c r="S59" s="484">
        <f t="shared" si="12"/>
        <v>0</v>
      </c>
      <c r="T59" s="374">
        <f t="shared" si="13"/>
      </c>
      <c r="U59" s="374">
        <f t="shared" si="14"/>
      </c>
    </row>
    <row r="60" spans="1:21" ht="12.75">
      <c r="A60" s="832"/>
      <c r="B60" s="842"/>
      <c r="C60" s="827"/>
      <c r="D60" s="827"/>
      <c r="E60" s="588" t="e">
        <f t="shared" si="3"/>
        <v>#N/A</v>
      </c>
      <c r="F60" s="831"/>
      <c r="G60" s="831"/>
      <c r="H60" s="831"/>
      <c r="I60" s="481" t="e">
        <f t="shared" si="4"/>
        <v>#N/A</v>
      </c>
      <c r="J60" s="834"/>
      <c r="K60" s="482">
        <f t="shared" si="15"/>
        <v>0</v>
      </c>
      <c r="L60" s="483" t="e">
        <f t="shared" si="5"/>
        <v>#DIV/0!</v>
      </c>
      <c r="M60" s="483" t="str">
        <f t="shared" si="6"/>
        <v>NA</v>
      </c>
      <c r="N60" s="600" t="b">
        <f t="shared" si="7"/>
        <v>0</v>
      </c>
      <c r="O60" s="612">
        <f t="shared" si="8"/>
        <v>0</v>
      </c>
      <c r="P60" s="613" t="e">
        <f t="shared" si="9"/>
        <v>#N/A</v>
      </c>
      <c r="Q60" s="424" t="e">
        <f t="shared" si="10"/>
        <v>#N/A</v>
      </c>
      <c r="R60" s="611" t="e">
        <f t="shared" si="11"/>
        <v>#N/A</v>
      </c>
      <c r="S60" s="484">
        <f t="shared" si="12"/>
        <v>0</v>
      </c>
      <c r="T60" s="374">
        <f t="shared" si="13"/>
      </c>
      <c r="U60" s="374">
        <f t="shared" si="14"/>
      </c>
    </row>
    <row r="61" spans="1:21" ht="12.75">
      <c r="A61" s="832"/>
      <c r="B61" s="842"/>
      <c r="C61" s="827"/>
      <c r="D61" s="827"/>
      <c r="E61" s="588" t="e">
        <f t="shared" si="3"/>
        <v>#N/A</v>
      </c>
      <c r="F61" s="831"/>
      <c r="G61" s="831"/>
      <c r="H61" s="831"/>
      <c r="I61" s="481" t="e">
        <f t="shared" si="4"/>
        <v>#N/A</v>
      </c>
      <c r="J61" s="834"/>
      <c r="K61" s="482">
        <f t="shared" si="15"/>
        <v>0</v>
      </c>
      <c r="L61" s="483" t="e">
        <f t="shared" si="5"/>
        <v>#DIV/0!</v>
      </c>
      <c r="M61" s="483" t="str">
        <f t="shared" si="6"/>
        <v>NA</v>
      </c>
      <c r="N61" s="600" t="b">
        <f t="shared" si="7"/>
        <v>0</v>
      </c>
      <c r="O61" s="612">
        <f t="shared" si="8"/>
        <v>0</v>
      </c>
      <c r="P61" s="613" t="e">
        <f t="shared" si="9"/>
        <v>#N/A</v>
      </c>
      <c r="Q61" s="424" t="e">
        <f t="shared" si="10"/>
        <v>#N/A</v>
      </c>
      <c r="R61" s="611" t="e">
        <f t="shared" si="11"/>
        <v>#N/A</v>
      </c>
      <c r="S61" s="484">
        <f t="shared" si="12"/>
        <v>0</v>
      </c>
      <c r="T61" s="374">
        <f t="shared" si="13"/>
      </c>
      <c r="U61" s="374">
        <f t="shared" si="14"/>
      </c>
    </row>
    <row r="62" spans="1:21" ht="12.75">
      <c r="A62" s="832"/>
      <c r="B62" s="842"/>
      <c r="C62" s="827"/>
      <c r="D62" s="827"/>
      <c r="E62" s="588" t="e">
        <f t="shared" si="3"/>
        <v>#N/A</v>
      </c>
      <c r="F62" s="831"/>
      <c r="G62" s="831"/>
      <c r="H62" s="831"/>
      <c r="I62" s="481" t="e">
        <f t="shared" si="4"/>
        <v>#N/A</v>
      </c>
      <c r="J62" s="834"/>
      <c r="K62" s="482">
        <f t="shared" si="15"/>
        <v>0</v>
      </c>
      <c r="L62" s="483" t="e">
        <f t="shared" si="5"/>
        <v>#DIV/0!</v>
      </c>
      <c r="M62" s="483" t="str">
        <f t="shared" si="6"/>
        <v>NA</v>
      </c>
      <c r="N62" s="600" t="b">
        <f t="shared" si="7"/>
        <v>0</v>
      </c>
      <c r="O62" s="612">
        <f t="shared" si="8"/>
        <v>0</v>
      </c>
      <c r="P62" s="613" t="e">
        <f t="shared" si="9"/>
        <v>#N/A</v>
      </c>
      <c r="Q62" s="424" t="e">
        <f t="shared" si="10"/>
        <v>#N/A</v>
      </c>
      <c r="R62" s="611" t="e">
        <f t="shared" si="11"/>
        <v>#N/A</v>
      </c>
      <c r="S62" s="484">
        <f t="shared" si="12"/>
        <v>0</v>
      </c>
      <c r="T62" s="374">
        <f t="shared" si="13"/>
      </c>
      <c r="U62" s="374">
        <f t="shared" si="14"/>
      </c>
    </row>
    <row r="63" spans="1:21" ht="12.75">
      <c r="A63" s="832"/>
      <c r="B63" s="842"/>
      <c r="C63" s="827"/>
      <c r="D63" s="827"/>
      <c r="E63" s="588" t="e">
        <f t="shared" si="3"/>
        <v>#N/A</v>
      </c>
      <c r="F63" s="831"/>
      <c r="G63" s="831"/>
      <c r="H63" s="831"/>
      <c r="I63" s="481" t="e">
        <f t="shared" si="4"/>
        <v>#N/A</v>
      </c>
      <c r="J63" s="834"/>
      <c r="K63" s="482">
        <f t="shared" si="15"/>
        <v>0</v>
      </c>
      <c r="L63" s="483" t="e">
        <f t="shared" si="5"/>
        <v>#DIV/0!</v>
      </c>
      <c r="M63" s="483" t="str">
        <f t="shared" si="6"/>
        <v>NA</v>
      </c>
      <c r="N63" s="600" t="b">
        <f t="shared" si="7"/>
        <v>0</v>
      </c>
      <c r="O63" s="612">
        <f t="shared" si="8"/>
        <v>0</v>
      </c>
      <c r="P63" s="613" t="e">
        <f t="shared" si="9"/>
        <v>#N/A</v>
      </c>
      <c r="Q63" s="424" t="e">
        <f t="shared" si="10"/>
        <v>#N/A</v>
      </c>
      <c r="R63" s="611" t="e">
        <f t="shared" si="11"/>
        <v>#N/A</v>
      </c>
      <c r="S63" s="484">
        <f t="shared" si="12"/>
        <v>0</v>
      </c>
      <c r="T63" s="374">
        <f t="shared" si="13"/>
      </c>
      <c r="U63" s="374">
        <f t="shared" si="14"/>
      </c>
    </row>
    <row r="64" spans="1:21" ht="12.75">
      <c r="A64" s="832"/>
      <c r="B64" s="842"/>
      <c r="C64" s="846"/>
      <c r="D64" s="827"/>
      <c r="E64" s="588" t="e">
        <f t="shared" si="3"/>
        <v>#N/A</v>
      </c>
      <c r="F64" s="831"/>
      <c r="G64" s="831"/>
      <c r="H64" s="831"/>
      <c r="I64" s="481" t="e">
        <f t="shared" si="4"/>
        <v>#N/A</v>
      </c>
      <c r="J64" s="834"/>
      <c r="K64" s="482">
        <f t="shared" si="15"/>
        <v>0</v>
      </c>
      <c r="L64" s="483" t="e">
        <f t="shared" si="5"/>
        <v>#DIV/0!</v>
      </c>
      <c r="M64" s="483" t="str">
        <f t="shared" si="6"/>
        <v>NA</v>
      </c>
      <c r="N64" s="600" t="b">
        <f t="shared" si="7"/>
        <v>0</v>
      </c>
      <c r="O64" s="612">
        <f t="shared" si="8"/>
        <v>0</v>
      </c>
      <c r="P64" s="613" t="e">
        <f t="shared" si="9"/>
        <v>#N/A</v>
      </c>
      <c r="Q64" s="424" t="e">
        <f t="shared" si="10"/>
        <v>#N/A</v>
      </c>
      <c r="R64" s="611" t="e">
        <f t="shared" si="11"/>
        <v>#N/A</v>
      </c>
      <c r="S64" s="484">
        <f t="shared" si="12"/>
        <v>0</v>
      </c>
      <c r="T64" s="374">
        <f t="shared" si="13"/>
      </c>
      <c r="U64" s="374">
        <f t="shared" si="14"/>
      </c>
    </row>
    <row r="65" spans="1:21" ht="12.75">
      <c r="A65" s="832"/>
      <c r="B65" s="842"/>
      <c r="C65" s="827"/>
      <c r="D65" s="827"/>
      <c r="E65" s="588" t="e">
        <f t="shared" si="3"/>
        <v>#N/A</v>
      </c>
      <c r="F65" s="831"/>
      <c r="G65" s="831"/>
      <c r="H65" s="831"/>
      <c r="I65" s="481" t="e">
        <f t="shared" si="4"/>
        <v>#N/A</v>
      </c>
      <c r="J65" s="834"/>
      <c r="K65" s="482">
        <f t="shared" si="15"/>
        <v>0</v>
      </c>
      <c r="L65" s="483" t="e">
        <f t="shared" si="5"/>
        <v>#DIV/0!</v>
      </c>
      <c r="M65" s="483" t="str">
        <f t="shared" si="6"/>
        <v>NA</v>
      </c>
      <c r="N65" s="600" t="b">
        <f t="shared" si="7"/>
        <v>0</v>
      </c>
      <c r="O65" s="612">
        <f t="shared" si="8"/>
        <v>0</v>
      </c>
      <c r="P65" s="613" t="e">
        <f t="shared" si="9"/>
        <v>#N/A</v>
      </c>
      <c r="Q65" s="424" t="e">
        <f t="shared" si="10"/>
        <v>#N/A</v>
      </c>
      <c r="R65" s="611" t="e">
        <f t="shared" si="11"/>
        <v>#N/A</v>
      </c>
      <c r="S65" s="484">
        <f t="shared" si="12"/>
        <v>0</v>
      </c>
      <c r="T65" s="374">
        <f t="shared" si="13"/>
      </c>
      <c r="U65" s="374">
        <f t="shared" si="14"/>
      </c>
    </row>
    <row r="66" spans="1:21" ht="12.75">
      <c r="A66" s="832"/>
      <c r="B66" s="842"/>
      <c r="C66" s="827"/>
      <c r="D66" s="827"/>
      <c r="E66" s="588" t="e">
        <f t="shared" si="3"/>
        <v>#N/A</v>
      </c>
      <c r="F66" s="831"/>
      <c r="G66" s="831"/>
      <c r="H66" s="831"/>
      <c r="I66" s="481" t="e">
        <f t="shared" si="4"/>
        <v>#N/A</v>
      </c>
      <c r="J66" s="834"/>
      <c r="K66" s="482">
        <f t="shared" si="15"/>
        <v>0</v>
      </c>
      <c r="L66" s="483" t="e">
        <f t="shared" si="5"/>
        <v>#DIV/0!</v>
      </c>
      <c r="M66" s="483" t="str">
        <f t="shared" si="6"/>
        <v>NA</v>
      </c>
      <c r="N66" s="600" t="b">
        <f t="shared" si="7"/>
        <v>0</v>
      </c>
      <c r="O66" s="612">
        <f t="shared" si="8"/>
        <v>0</v>
      </c>
      <c r="P66" s="613" t="e">
        <f t="shared" si="9"/>
        <v>#N/A</v>
      </c>
      <c r="Q66" s="424" t="e">
        <f t="shared" si="10"/>
        <v>#N/A</v>
      </c>
      <c r="R66" s="611" t="e">
        <f t="shared" si="11"/>
        <v>#N/A</v>
      </c>
      <c r="S66" s="484">
        <f t="shared" si="12"/>
        <v>0</v>
      </c>
      <c r="T66" s="374">
        <f t="shared" si="13"/>
      </c>
      <c r="U66" s="374">
        <f t="shared" si="14"/>
      </c>
    </row>
    <row r="67" spans="1:21" ht="12.75">
      <c r="A67" s="832"/>
      <c r="B67" s="842"/>
      <c r="C67" s="827"/>
      <c r="D67" s="827"/>
      <c r="E67" s="588" t="e">
        <f t="shared" si="3"/>
        <v>#N/A</v>
      </c>
      <c r="F67" s="831"/>
      <c r="G67" s="831"/>
      <c r="H67" s="831"/>
      <c r="I67" s="481" t="e">
        <f t="shared" si="4"/>
        <v>#N/A</v>
      </c>
      <c r="J67" s="834"/>
      <c r="K67" s="482">
        <f t="shared" si="15"/>
        <v>0</v>
      </c>
      <c r="L67" s="483" t="e">
        <f t="shared" si="5"/>
        <v>#DIV/0!</v>
      </c>
      <c r="M67" s="483" t="str">
        <f t="shared" si="6"/>
        <v>NA</v>
      </c>
      <c r="N67" s="600" t="b">
        <f t="shared" si="7"/>
        <v>0</v>
      </c>
      <c r="O67" s="612">
        <f t="shared" si="8"/>
        <v>0</v>
      </c>
      <c r="P67" s="613" t="e">
        <f t="shared" si="9"/>
        <v>#N/A</v>
      </c>
      <c r="Q67" s="424" t="e">
        <f t="shared" si="10"/>
        <v>#N/A</v>
      </c>
      <c r="R67" s="611" t="e">
        <f t="shared" si="11"/>
        <v>#N/A</v>
      </c>
      <c r="S67" s="484">
        <f t="shared" si="12"/>
        <v>0</v>
      </c>
      <c r="T67" s="374">
        <f t="shared" si="13"/>
      </c>
      <c r="U67" s="374">
        <f t="shared" si="14"/>
      </c>
    </row>
    <row r="68" spans="1:21" ht="12.75">
      <c r="A68" s="832"/>
      <c r="B68" s="842"/>
      <c r="C68" s="827"/>
      <c r="D68" s="827"/>
      <c r="E68" s="588" t="e">
        <f t="shared" si="3"/>
        <v>#N/A</v>
      </c>
      <c r="F68" s="831"/>
      <c r="G68" s="831"/>
      <c r="H68" s="831"/>
      <c r="I68" s="481" t="e">
        <f t="shared" si="4"/>
        <v>#N/A</v>
      </c>
      <c r="J68" s="834"/>
      <c r="K68" s="482">
        <f t="shared" si="15"/>
        <v>0</v>
      </c>
      <c r="L68" s="483" t="e">
        <f t="shared" si="5"/>
        <v>#DIV/0!</v>
      </c>
      <c r="M68" s="483" t="str">
        <f t="shared" si="6"/>
        <v>NA</v>
      </c>
      <c r="N68" s="600" t="b">
        <f t="shared" si="7"/>
        <v>0</v>
      </c>
      <c r="O68" s="612">
        <f t="shared" si="8"/>
        <v>0</v>
      </c>
      <c r="P68" s="613" t="e">
        <f t="shared" si="9"/>
        <v>#N/A</v>
      </c>
      <c r="Q68" s="424" t="e">
        <f t="shared" si="10"/>
        <v>#N/A</v>
      </c>
      <c r="R68" s="611" t="e">
        <f t="shared" si="11"/>
        <v>#N/A</v>
      </c>
      <c r="S68" s="484">
        <f t="shared" si="12"/>
        <v>0</v>
      </c>
      <c r="T68" s="374">
        <f t="shared" si="13"/>
      </c>
      <c r="U68" s="374">
        <f t="shared" si="14"/>
      </c>
    </row>
    <row r="69" spans="1:21" ht="12.75">
      <c r="A69" s="832"/>
      <c r="B69" s="842"/>
      <c r="C69" s="827"/>
      <c r="D69" s="827"/>
      <c r="E69" s="588" t="e">
        <f t="shared" si="3"/>
        <v>#N/A</v>
      </c>
      <c r="F69" s="831"/>
      <c r="G69" s="831"/>
      <c r="H69" s="831"/>
      <c r="I69" s="481" t="e">
        <f t="shared" si="4"/>
        <v>#N/A</v>
      </c>
      <c r="J69" s="834"/>
      <c r="K69" s="482">
        <f t="shared" si="15"/>
        <v>0</v>
      </c>
      <c r="L69" s="483" t="e">
        <f t="shared" si="5"/>
        <v>#DIV/0!</v>
      </c>
      <c r="M69" s="483" t="str">
        <f t="shared" si="6"/>
        <v>NA</v>
      </c>
      <c r="N69" s="600" t="b">
        <f t="shared" si="7"/>
        <v>0</v>
      </c>
      <c r="O69" s="612">
        <f t="shared" si="8"/>
        <v>0</v>
      </c>
      <c r="P69" s="613" t="e">
        <f t="shared" si="9"/>
        <v>#N/A</v>
      </c>
      <c r="Q69" s="424" t="e">
        <f t="shared" si="10"/>
        <v>#N/A</v>
      </c>
      <c r="R69" s="611" t="e">
        <f t="shared" si="11"/>
        <v>#N/A</v>
      </c>
      <c r="S69" s="484">
        <f t="shared" si="12"/>
        <v>0</v>
      </c>
      <c r="T69" s="374">
        <f t="shared" si="13"/>
      </c>
      <c r="U69" s="374">
        <f t="shared" si="14"/>
      </c>
    </row>
    <row r="70" spans="1:21" ht="12.75">
      <c r="A70" s="832"/>
      <c r="B70" s="842"/>
      <c r="C70" s="846"/>
      <c r="D70" s="827"/>
      <c r="E70" s="588" t="e">
        <f t="shared" si="3"/>
        <v>#N/A</v>
      </c>
      <c r="F70" s="831"/>
      <c r="G70" s="831"/>
      <c r="H70" s="831"/>
      <c r="I70" s="481" t="e">
        <f t="shared" si="4"/>
        <v>#N/A</v>
      </c>
      <c r="J70" s="834"/>
      <c r="K70" s="482">
        <f t="shared" si="15"/>
        <v>0</v>
      </c>
      <c r="L70" s="483" t="e">
        <f t="shared" si="5"/>
        <v>#DIV/0!</v>
      </c>
      <c r="M70" s="483" t="str">
        <f t="shared" si="6"/>
        <v>NA</v>
      </c>
      <c r="N70" s="600" t="b">
        <f t="shared" si="7"/>
        <v>0</v>
      </c>
      <c r="O70" s="612">
        <f t="shared" si="8"/>
        <v>0</v>
      </c>
      <c r="P70" s="613" t="e">
        <f t="shared" si="9"/>
        <v>#N/A</v>
      </c>
      <c r="Q70" s="424" t="e">
        <f t="shared" si="10"/>
        <v>#N/A</v>
      </c>
      <c r="R70" s="611" t="e">
        <f t="shared" si="11"/>
        <v>#N/A</v>
      </c>
      <c r="S70" s="484">
        <f t="shared" si="12"/>
        <v>0</v>
      </c>
      <c r="T70" s="374">
        <f t="shared" si="13"/>
      </c>
      <c r="U70" s="374">
        <f t="shared" si="14"/>
      </c>
    </row>
    <row r="71" spans="1:21" ht="12" customHeight="1">
      <c r="A71" s="832"/>
      <c r="B71" s="842"/>
      <c r="C71" s="827"/>
      <c r="D71" s="827"/>
      <c r="E71" s="588" t="e">
        <f t="shared" si="3"/>
        <v>#N/A</v>
      </c>
      <c r="F71" s="831"/>
      <c r="G71" s="831"/>
      <c r="H71" s="831"/>
      <c r="I71" s="481" t="e">
        <f t="shared" si="4"/>
        <v>#N/A</v>
      </c>
      <c r="J71" s="834"/>
      <c r="K71" s="482">
        <f t="shared" si="15"/>
        <v>0</v>
      </c>
      <c r="L71" s="483" t="e">
        <f t="shared" si="5"/>
        <v>#DIV/0!</v>
      </c>
      <c r="M71" s="483" t="str">
        <f t="shared" si="6"/>
        <v>NA</v>
      </c>
      <c r="N71" s="600" t="b">
        <f t="shared" si="7"/>
        <v>0</v>
      </c>
      <c r="O71" s="612">
        <f t="shared" si="8"/>
        <v>0</v>
      </c>
      <c r="P71" s="613" t="e">
        <f t="shared" si="9"/>
        <v>#N/A</v>
      </c>
      <c r="Q71" s="424" t="e">
        <f t="shared" si="10"/>
        <v>#N/A</v>
      </c>
      <c r="R71" s="611" t="e">
        <f t="shared" si="11"/>
        <v>#N/A</v>
      </c>
      <c r="S71" s="484">
        <f t="shared" si="12"/>
        <v>0</v>
      </c>
      <c r="T71" s="374">
        <f t="shared" si="13"/>
      </c>
      <c r="U71" s="374">
        <f t="shared" si="14"/>
      </c>
    </row>
    <row r="72" spans="1:21" ht="12.75">
      <c r="A72" s="832"/>
      <c r="B72" s="842"/>
      <c r="C72" s="827"/>
      <c r="D72" s="827"/>
      <c r="E72" s="588" t="e">
        <f t="shared" si="3"/>
        <v>#N/A</v>
      </c>
      <c r="F72" s="831"/>
      <c r="G72" s="831"/>
      <c r="H72" s="831"/>
      <c r="I72" s="481" t="e">
        <f t="shared" si="4"/>
        <v>#N/A</v>
      </c>
      <c r="J72" s="834"/>
      <c r="K72" s="482">
        <f t="shared" si="15"/>
        <v>0</v>
      </c>
      <c r="L72" s="483" t="e">
        <f t="shared" si="5"/>
        <v>#DIV/0!</v>
      </c>
      <c r="M72" s="483" t="str">
        <f t="shared" si="6"/>
        <v>NA</v>
      </c>
      <c r="N72" s="600" t="b">
        <f t="shared" si="7"/>
        <v>0</v>
      </c>
      <c r="O72" s="612">
        <f t="shared" si="8"/>
        <v>0</v>
      </c>
      <c r="P72" s="613" t="e">
        <f t="shared" si="9"/>
        <v>#N/A</v>
      </c>
      <c r="Q72" s="424" t="e">
        <f t="shared" si="10"/>
        <v>#N/A</v>
      </c>
      <c r="R72" s="611" t="e">
        <f t="shared" si="11"/>
        <v>#N/A</v>
      </c>
      <c r="S72" s="484">
        <f t="shared" si="12"/>
        <v>0</v>
      </c>
      <c r="T72" s="374">
        <f t="shared" si="13"/>
      </c>
      <c r="U72" s="374">
        <f t="shared" si="14"/>
      </c>
    </row>
    <row r="73" spans="1:21" ht="12.75">
      <c r="A73" s="832"/>
      <c r="B73" s="842"/>
      <c r="C73" s="827"/>
      <c r="D73" s="827"/>
      <c r="E73" s="588" t="e">
        <f t="shared" si="3"/>
        <v>#N/A</v>
      </c>
      <c r="F73" s="831"/>
      <c r="G73" s="831"/>
      <c r="H73" s="831"/>
      <c r="I73" s="481" t="e">
        <f t="shared" si="4"/>
        <v>#N/A</v>
      </c>
      <c r="J73" s="834"/>
      <c r="K73" s="482">
        <f t="shared" si="15"/>
        <v>0</v>
      </c>
      <c r="L73" s="483" t="e">
        <f t="shared" si="5"/>
        <v>#DIV/0!</v>
      </c>
      <c r="M73" s="483" t="str">
        <f t="shared" si="6"/>
        <v>NA</v>
      </c>
      <c r="N73" s="600" t="b">
        <f t="shared" si="7"/>
        <v>0</v>
      </c>
      <c r="O73" s="612">
        <f t="shared" si="8"/>
        <v>0</v>
      </c>
      <c r="P73" s="613" t="e">
        <f t="shared" si="9"/>
        <v>#N/A</v>
      </c>
      <c r="Q73" s="424" t="e">
        <f t="shared" si="10"/>
        <v>#N/A</v>
      </c>
      <c r="R73" s="611" t="e">
        <f t="shared" si="11"/>
        <v>#N/A</v>
      </c>
      <c r="S73" s="484">
        <f t="shared" si="12"/>
        <v>0</v>
      </c>
      <c r="T73" s="374">
        <f t="shared" si="13"/>
      </c>
      <c r="U73" s="374">
        <f t="shared" si="14"/>
      </c>
    </row>
    <row r="74" spans="1:21" ht="12.75">
      <c r="A74" s="832"/>
      <c r="B74" s="842"/>
      <c r="C74" s="827"/>
      <c r="D74" s="827"/>
      <c r="E74" s="588" t="e">
        <f t="shared" si="3"/>
        <v>#N/A</v>
      </c>
      <c r="F74" s="831"/>
      <c r="G74" s="831"/>
      <c r="H74" s="831"/>
      <c r="I74" s="481" t="e">
        <f t="shared" si="4"/>
        <v>#N/A</v>
      </c>
      <c r="J74" s="834"/>
      <c r="K74" s="482">
        <f t="shared" si="15"/>
        <v>0</v>
      </c>
      <c r="L74" s="483" t="e">
        <f t="shared" si="5"/>
        <v>#DIV/0!</v>
      </c>
      <c r="M74" s="483" t="str">
        <f t="shared" si="6"/>
        <v>NA</v>
      </c>
      <c r="N74" s="600" t="b">
        <f t="shared" si="7"/>
        <v>0</v>
      </c>
      <c r="O74" s="612">
        <f t="shared" si="8"/>
        <v>0</v>
      </c>
      <c r="P74" s="613" t="e">
        <f t="shared" si="9"/>
        <v>#N/A</v>
      </c>
      <c r="Q74" s="424" t="e">
        <f t="shared" si="10"/>
        <v>#N/A</v>
      </c>
      <c r="R74" s="611" t="e">
        <f t="shared" si="11"/>
        <v>#N/A</v>
      </c>
      <c r="S74" s="484">
        <f t="shared" si="12"/>
        <v>0</v>
      </c>
      <c r="T74" s="374">
        <f t="shared" si="13"/>
      </c>
      <c r="U74" s="374">
        <f t="shared" si="14"/>
      </c>
    </row>
    <row r="75" spans="1:21" ht="12.75">
      <c r="A75" s="845"/>
      <c r="B75" s="842"/>
      <c r="C75" s="827"/>
      <c r="D75" s="827"/>
      <c r="E75" s="588" t="e">
        <f t="shared" si="3"/>
        <v>#N/A</v>
      </c>
      <c r="F75" s="831"/>
      <c r="G75" s="831"/>
      <c r="H75" s="831"/>
      <c r="I75" s="481" t="e">
        <f t="shared" si="4"/>
        <v>#N/A</v>
      </c>
      <c r="J75" s="834"/>
      <c r="K75" s="482">
        <f t="shared" si="15"/>
        <v>0</v>
      </c>
      <c r="L75" s="483" t="e">
        <f t="shared" si="5"/>
        <v>#DIV/0!</v>
      </c>
      <c r="M75" s="483" t="str">
        <f t="shared" si="6"/>
        <v>NA</v>
      </c>
      <c r="N75" s="600" t="b">
        <f t="shared" si="7"/>
        <v>0</v>
      </c>
      <c r="O75" s="612">
        <f t="shared" si="8"/>
        <v>0</v>
      </c>
      <c r="P75" s="613" t="e">
        <f t="shared" si="9"/>
        <v>#N/A</v>
      </c>
      <c r="Q75" s="424" t="e">
        <f t="shared" si="10"/>
        <v>#N/A</v>
      </c>
      <c r="R75" s="611" t="e">
        <f t="shared" si="11"/>
        <v>#N/A</v>
      </c>
      <c r="S75" s="484">
        <f t="shared" si="12"/>
        <v>0</v>
      </c>
      <c r="T75" s="374">
        <f t="shared" si="13"/>
      </c>
      <c r="U75" s="374">
        <f t="shared" si="14"/>
      </c>
    </row>
    <row r="76" spans="1:21" ht="12.75">
      <c r="A76" s="845"/>
      <c r="B76" s="842"/>
      <c r="C76" s="827"/>
      <c r="D76" s="827"/>
      <c r="E76" s="588" t="e">
        <f t="shared" si="3"/>
        <v>#N/A</v>
      </c>
      <c r="F76" s="831"/>
      <c r="G76" s="831"/>
      <c r="H76" s="831"/>
      <c r="I76" s="481" t="e">
        <f t="shared" si="4"/>
        <v>#N/A</v>
      </c>
      <c r="J76" s="834"/>
      <c r="K76" s="482">
        <f t="shared" si="15"/>
        <v>0</v>
      </c>
      <c r="L76" s="483" t="e">
        <f t="shared" si="5"/>
        <v>#DIV/0!</v>
      </c>
      <c r="M76" s="483" t="str">
        <f t="shared" si="6"/>
        <v>NA</v>
      </c>
      <c r="N76" s="600" t="b">
        <f t="shared" si="7"/>
        <v>0</v>
      </c>
      <c r="O76" s="612">
        <f t="shared" si="8"/>
        <v>0</v>
      </c>
      <c r="P76" s="613" t="e">
        <f t="shared" si="9"/>
        <v>#N/A</v>
      </c>
      <c r="Q76" s="424" t="e">
        <f t="shared" si="10"/>
        <v>#N/A</v>
      </c>
      <c r="R76" s="611" t="e">
        <f t="shared" si="11"/>
        <v>#N/A</v>
      </c>
      <c r="S76" s="484">
        <f t="shared" si="12"/>
        <v>0</v>
      </c>
      <c r="T76" s="374">
        <f t="shared" si="13"/>
      </c>
      <c r="U76" s="374">
        <f t="shared" si="14"/>
      </c>
    </row>
    <row r="77" spans="1:21" ht="12.75">
      <c r="A77" s="847"/>
      <c r="B77" s="842"/>
      <c r="C77" s="827"/>
      <c r="D77" s="827"/>
      <c r="E77" s="588" t="e">
        <f t="shared" si="3"/>
        <v>#N/A</v>
      </c>
      <c r="F77" s="831"/>
      <c r="G77" s="831"/>
      <c r="H77" s="831"/>
      <c r="I77" s="481" t="e">
        <f t="shared" si="4"/>
        <v>#N/A</v>
      </c>
      <c r="J77" s="834"/>
      <c r="K77" s="482">
        <f t="shared" si="15"/>
        <v>0</v>
      </c>
      <c r="L77" s="483" t="e">
        <f t="shared" si="5"/>
        <v>#DIV/0!</v>
      </c>
      <c r="M77" s="483" t="str">
        <f t="shared" si="6"/>
        <v>NA</v>
      </c>
      <c r="N77" s="600" t="b">
        <f t="shared" si="7"/>
        <v>0</v>
      </c>
      <c r="O77" s="612">
        <f t="shared" si="8"/>
        <v>0</v>
      </c>
      <c r="P77" s="613" t="e">
        <f t="shared" si="9"/>
        <v>#N/A</v>
      </c>
      <c r="Q77" s="424" t="e">
        <f t="shared" si="10"/>
        <v>#N/A</v>
      </c>
      <c r="R77" s="611" t="e">
        <f t="shared" si="11"/>
        <v>#N/A</v>
      </c>
      <c r="S77" s="484">
        <f t="shared" si="12"/>
        <v>0</v>
      </c>
      <c r="T77" s="374">
        <f t="shared" si="13"/>
      </c>
      <c r="U77" s="374">
        <f t="shared" si="14"/>
      </c>
    </row>
    <row r="78" spans="1:21" ht="12.75">
      <c r="A78" s="845"/>
      <c r="B78" s="842"/>
      <c r="C78" s="827"/>
      <c r="D78" s="827"/>
      <c r="E78" s="588" t="e">
        <f t="shared" si="3"/>
        <v>#N/A</v>
      </c>
      <c r="F78" s="831"/>
      <c r="G78" s="831"/>
      <c r="H78" s="831"/>
      <c r="I78" s="481" t="e">
        <f t="shared" si="4"/>
        <v>#N/A</v>
      </c>
      <c r="J78" s="834"/>
      <c r="K78" s="482">
        <f t="shared" si="15"/>
        <v>0</v>
      </c>
      <c r="L78" s="483" t="e">
        <f t="shared" si="5"/>
        <v>#DIV/0!</v>
      </c>
      <c r="M78" s="483" t="str">
        <f t="shared" si="6"/>
        <v>NA</v>
      </c>
      <c r="N78" s="600" t="b">
        <f t="shared" si="7"/>
        <v>0</v>
      </c>
      <c r="O78" s="612">
        <f t="shared" si="8"/>
        <v>0</v>
      </c>
      <c r="P78" s="613" t="e">
        <f t="shared" si="9"/>
        <v>#N/A</v>
      </c>
      <c r="Q78" s="424" t="e">
        <f t="shared" si="10"/>
        <v>#N/A</v>
      </c>
      <c r="R78" s="611" t="e">
        <f t="shared" si="11"/>
        <v>#N/A</v>
      </c>
      <c r="S78" s="484">
        <f t="shared" si="12"/>
        <v>0</v>
      </c>
      <c r="T78" s="374">
        <f t="shared" si="13"/>
      </c>
      <c r="U78" s="374">
        <f t="shared" si="14"/>
      </c>
    </row>
    <row r="79" spans="1:21" ht="12.75">
      <c r="A79" s="845"/>
      <c r="B79" s="842"/>
      <c r="C79" s="827"/>
      <c r="D79" s="827"/>
      <c r="E79" s="588" t="e">
        <f t="shared" si="3"/>
        <v>#N/A</v>
      </c>
      <c r="F79" s="831"/>
      <c r="G79" s="831"/>
      <c r="H79" s="831"/>
      <c r="I79" s="481" t="e">
        <f t="shared" si="4"/>
        <v>#N/A</v>
      </c>
      <c r="J79" s="834"/>
      <c r="K79" s="482">
        <f t="shared" si="15"/>
        <v>0</v>
      </c>
      <c r="L79" s="483" t="e">
        <f t="shared" si="5"/>
        <v>#DIV/0!</v>
      </c>
      <c r="M79" s="483" t="str">
        <f t="shared" si="6"/>
        <v>NA</v>
      </c>
      <c r="N79" s="600" t="b">
        <f t="shared" si="7"/>
        <v>0</v>
      </c>
      <c r="O79" s="612">
        <f t="shared" si="8"/>
        <v>0</v>
      </c>
      <c r="P79" s="613" t="e">
        <f t="shared" si="9"/>
        <v>#N/A</v>
      </c>
      <c r="Q79" s="424" t="e">
        <f t="shared" si="10"/>
        <v>#N/A</v>
      </c>
      <c r="R79" s="611" t="e">
        <f t="shared" si="11"/>
        <v>#N/A</v>
      </c>
      <c r="S79" s="484">
        <f t="shared" si="12"/>
        <v>0</v>
      </c>
      <c r="T79" s="374">
        <f t="shared" si="13"/>
      </c>
      <c r="U79" s="374">
        <f t="shared" si="14"/>
      </c>
    </row>
    <row r="80" spans="1:21" ht="12.75">
      <c r="A80" s="845"/>
      <c r="B80" s="842"/>
      <c r="C80" s="846"/>
      <c r="D80" s="827"/>
      <c r="E80" s="588" t="e">
        <f t="shared" si="3"/>
        <v>#N/A</v>
      </c>
      <c r="F80" s="831"/>
      <c r="G80" s="831"/>
      <c r="H80" s="831"/>
      <c r="I80" s="481" t="e">
        <f t="shared" si="4"/>
        <v>#N/A</v>
      </c>
      <c r="J80" s="834"/>
      <c r="K80" s="482">
        <f t="shared" si="15"/>
        <v>0</v>
      </c>
      <c r="L80" s="483" t="e">
        <f t="shared" si="5"/>
        <v>#DIV/0!</v>
      </c>
      <c r="M80" s="483" t="str">
        <f t="shared" si="6"/>
        <v>NA</v>
      </c>
      <c r="N80" s="600" t="b">
        <f t="shared" si="7"/>
        <v>0</v>
      </c>
      <c r="O80" s="612">
        <f t="shared" si="8"/>
        <v>0</v>
      </c>
      <c r="P80" s="613" t="e">
        <f t="shared" si="9"/>
        <v>#N/A</v>
      </c>
      <c r="Q80" s="424" t="e">
        <f t="shared" si="10"/>
        <v>#N/A</v>
      </c>
      <c r="R80" s="611" t="e">
        <f t="shared" si="11"/>
        <v>#N/A</v>
      </c>
      <c r="S80" s="484">
        <f t="shared" si="12"/>
        <v>0</v>
      </c>
      <c r="T80" s="374">
        <f t="shared" si="13"/>
      </c>
      <c r="U80" s="374">
        <f t="shared" si="14"/>
      </c>
    </row>
    <row r="81" spans="1:21" ht="12.75">
      <c r="A81" s="845"/>
      <c r="B81" s="842"/>
      <c r="C81" s="827"/>
      <c r="D81" s="827"/>
      <c r="E81" s="588" t="e">
        <f t="shared" si="3"/>
        <v>#N/A</v>
      </c>
      <c r="F81" s="831"/>
      <c r="G81" s="831"/>
      <c r="H81" s="831"/>
      <c r="I81" s="481" t="e">
        <f t="shared" si="4"/>
        <v>#N/A</v>
      </c>
      <c r="J81" s="834"/>
      <c r="K81" s="482">
        <f t="shared" si="15"/>
        <v>0</v>
      </c>
      <c r="L81" s="483" t="e">
        <f t="shared" si="5"/>
        <v>#DIV/0!</v>
      </c>
      <c r="M81" s="483" t="str">
        <f t="shared" si="6"/>
        <v>NA</v>
      </c>
      <c r="N81" s="600" t="b">
        <f t="shared" si="7"/>
        <v>0</v>
      </c>
      <c r="O81" s="612">
        <f t="shared" si="8"/>
        <v>0</v>
      </c>
      <c r="P81" s="613" t="e">
        <f t="shared" si="9"/>
        <v>#N/A</v>
      </c>
      <c r="Q81" s="424" t="e">
        <f t="shared" si="10"/>
        <v>#N/A</v>
      </c>
      <c r="R81" s="611" t="e">
        <f t="shared" si="11"/>
        <v>#N/A</v>
      </c>
      <c r="S81" s="484">
        <f t="shared" si="12"/>
        <v>0</v>
      </c>
      <c r="T81" s="374">
        <f t="shared" si="13"/>
      </c>
      <c r="U81" s="374">
        <f t="shared" si="14"/>
      </c>
    </row>
    <row r="82" spans="1:21" ht="12.75">
      <c r="A82" s="845"/>
      <c r="B82" s="842"/>
      <c r="C82" s="827"/>
      <c r="D82" s="827"/>
      <c r="E82" s="588" t="e">
        <f t="shared" si="3"/>
        <v>#N/A</v>
      </c>
      <c r="F82" s="831"/>
      <c r="G82" s="831"/>
      <c r="H82" s="831"/>
      <c r="I82" s="481" t="e">
        <f t="shared" si="4"/>
        <v>#N/A</v>
      </c>
      <c r="J82" s="834"/>
      <c r="K82" s="482">
        <f t="shared" si="15"/>
        <v>0</v>
      </c>
      <c r="L82" s="483" t="e">
        <f t="shared" si="5"/>
        <v>#DIV/0!</v>
      </c>
      <c r="M82" s="483" t="str">
        <f t="shared" si="6"/>
        <v>NA</v>
      </c>
      <c r="N82" s="600" t="b">
        <f t="shared" si="7"/>
        <v>0</v>
      </c>
      <c r="O82" s="612">
        <f t="shared" si="8"/>
        <v>0</v>
      </c>
      <c r="P82" s="613" t="e">
        <f t="shared" si="9"/>
        <v>#N/A</v>
      </c>
      <c r="Q82" s="424" t="e">
        <f t="shared" si="10"/>
        <v>#N/A</v>
      </c>
      <c r="R82" s="611" t="e">
        <f t="shared" si="11"/>
        <v>#N/A</v>
      </c>
      <c r="S82" s="484">
        <f t="shared" si="12"/>
        <v>0</v>
      </c>
      <c r="T82" s="374">
        <f t="shared" si="13"/>
      </c>
      <c r="U82" s="374">
        <f t="shared" si="14"/>
      </c>
    </row>
    <row r="83" spans="1:21" ht="12.75">
      <c r="A83" s="845"/>
      <c r="B83" s="842"/>
      <c r="C83" s="846"/>
      <c r="D83" s="827"/>
      <c r="E83" s="588" t="e">
        <f t="shared" si="3"/>
        <v>#N/A</v>
      </c>
      <c r="F83" s="831"/>
      <c r="G83" s="831"/>
      <c r="H83" s="831"/>
      <c r="I83" s="481" t="e">
        <f t="shared" si="4"/>
        <v>#N/A</v>
      </c>
      <c r="J83" s="834"/>
      <c r="K83" s="482">
        <f t="shared" si="15"/>
        <v>0</v>
      </c>
      <c r="L83" s="483" t="e">
        <f t="shared" si="5"/>
        <v>#DIV/0!</v>
      </c>
      <c r="M83" s="483" t="str">
        <f t="shared" si="6"/>
        <v>NA</v>
      </c>
      <c r="N83" s="600" t="b">
        <f t="shared" si="7"/>
        <v>0</v>
      </c>
      <c r="O83" s="612">
        <f t="shared" si="8"/>
        <v>0</v>
      </c>
      <c r="P83" s="613" t="e">
        <f t="shared" si="9"/>
        <v>#N/A</v>
      </c>
      <c r="Q83" s="424" t="e">
        <f t="shared" si="10"/>
        <v>#N/A</v>
      </c>
      <c r="R83" s="611" t="e">
        <f t="shared" si="11"/>
        <v>#N/A</v>
      </c>
      <c r="S83" s="484">
        <f t="shared" si="12"/>
        <v>0</v>
      </c>
      <c r="T83" s="374">
        <f t="shared" si="13"/>
      </c>
      <c r="U83" s="374">
        <f t="shared" si="14"/>
      </c>
    </row>
    <row r="84" spans="1:21" ht="12.75">
      <c r="A84" s="845"/>
      <c r="B84" s="842"/>
      <c r="C84" s="827"/>
      <c r="D84" s="827"/>
      <c r="E84" s="588" t="e">
        <f t="shared" si="3"/>
        <v>#N/A</v>
      </c>
      <c r="F84" s="831"/>
      <c r="G84" s="831"/>
      <c r="H84" s="831"/>
      <c r="I84" s="481" t="e">
        <f t="shared" si="4"/>
        <v>#N/A</v>
      </c>
      <c r="J84" s="834"/>
      <c r="K84" s="482">
        <f t="shared" si="15"/>
        <v>0</v>
      </c>
      <c r="L84" s="483" t="e">
        <f t="shared" si="5"/>
        <v>#DIV/0!</v>
      </c>
      <c r="M84" s="483" t="str">
        <f t="shared" si="6"/>
        <v>NA</v>
      </c>
      <c r="N84" s="600" t="b">
        <f t="shared" si="7"/>
        <v>0</v>
      </c>
      <c r="O84" s="612">
        <f t="shared" si="8"/>
        <v>0</v>
      </c>
      <c r="P84" s="613" t="e">
        <f t="shared" si="9"/>
        <v>#N/A</v>
      </c>
      <c r="Q84" s="424" t="e">
        <f t="shared" si="10"/>
        <v>#N/A</v>
      </c>
      <c r="R84" s="611" t="e">
        <f t="shared" si="11"/>
        <v>#N/A</v>
      </c>
      <c r="S84" s="484">
        <f t="shared" si="12"/>
        <v>0</v>
      </c>
      <c r="T84" s="374">
        <f t="shared" si="13"/>
      </c>
      <c r="U84" s="374">
        <f t="shared" si="14"/>
      </c>
    </row>
    <row r="85" spans="1:21" ht="12.75">
      <c r="A85" s="845"/>
      <c r="B85" s="842"/>
      <c r="C85" s="846"/>
      <c r="D85" s="827"/>
      <c r="E85" s="588" t="e">
        <f t="shared" si="3"/>
        <v>#N/A</v>
      </c>
      <c r="F85" s="831"/>
      <c r="G85" s="831"/>
      <c r="H85" s="831"/>
      <c r="I85" s="481" t="e">
        <f t="shared" si="4"/>
        <v>#N/A</v>
      </c>
      <c r="J85" s="834"/>
      <c r="K85" s="482">
        <f t="shared" si="15"/>
        <v>0</v>
      </c>
      <c r="L85" s="483" t="e">
        <f t="shared" si="5"/>
        <v>#DIV/0!</v>
      </c>
      <c r="M85" s="483" t="str">
        <f t="shared" si="6"/>
        <v>NA</v>
      </c>
      <c r="N85" s="600" t="b">
        <f t="shared" si="7"/>
        <v>0</v>
      </c>
      <c r="O85" s="612">
        <f t="shared" si="8"/>
        <v>0</v>
      </c>
      <c r="P85" s="613" t="e">
        <f t="shared" si="9"/>
        <v>#N/A</v>
      </c>
      <c r="Q85" s="424" t="e">
        <f t="shared" si="10"/>
        <v>#N/A</v>
      </c>
      <c r="R85" s="611" t="e">
        <f t="shared" si="11"/>
        <v>#N/A</v>
      </c>
      <c r="S85" s="484">
        <f t="shared" si="12"/>
        <v>0</v>
      </c>
      <c r="T85" s="374">
        <f t="shared" si="13"/>
      </c>
      <c r="U85" s="374">
        <f t="shared" si="14"/>
      </c>
    </row>
    <row r="86" spans="1:21" ht="12.75">
      <c r="A86" s="845"/>
      <c r="B86" s="842"/>
      <c r="C86" s="827"/>
      <c r="D86" s="827"/>
      <c r="E86" s="588" t="e">
        <f t="shared" si="3"/>
        <v>#N/A</v>
      </c>
      <c r="F86" s="831"/>
      <c r="G86" s="831"/>
      <c r="H86" s="831"/>
      <c r="I86" s="481" t="e">
        <f t="shared" si="4"/>
        <v>#N/A</v>
      </c>
      <c r="J86" s="834"/>
      <c r="K86" s="482">
        <f t="shared" si="15"/>
        <v>0</v>
      </c>
      <c r="L86" s="483" t="e">
        <f t="shared" si="5"/>
        <v>#DIV/0!</v>
      </c>
      <c r="M86" s="483" t="str">
        <f t="shared" si="6"/>
        <v>NA</v>
      </c>
      <c r="N86" s="600" t="b">
        <f t="shared" si="7"/>
        <v>0</v>
      </c>
      <c r="O86" s="612">
        <f t="shared" si="8"/>
        <v>0</v>
      </c>
      <c r="P86" s="613" t="e">
        <f t="shared" si="9"/>
        <v>#N/A</v>
      </c>
      <c r="Q86" s="424" t="e">
        <f t="shared" si="10"/>
        <v>#N/A</v>
      </c>
      <c r="R86" s="611" t="e">
        <f t="shared" si="11"/>
        <v>#N/A</v>
      </c>
      <c r="S86" s="484">
        <f t="shared" si="12"/>
        <v>0</v>
      </c>
      <c r="T86" s="374">
        <f t="shared" si="13"/>
      </c>
      <c r="U86" s="374">
        <f t="shared" si="14"/>
      </c>
    </row>
    <row r="87" spans="1:21" ht="12.75">
      <c r="A87" s="847"/>
      <c r="B87" s="842"/>
      <c r="C87" s="827"/>
      <c r="D87" s="827"/>
      <c r="E87" s="588" t="e">
        <f t="shared" si="3"/>
        <v>#N/A</v>
      </c>
      <c r="F87" s="831"/>
      <c r="G87" s="831"/>
      <c r="H87" s="831"/>
      <c r="I87" s="481" t="e">
        <f t="shared" si="4"/>
        <v>#N/A</v>
      </c>
      <c r="J87" s="834"/>
      <c r="K87" s="482">
        <f t="shared" si="15"/>
        <v>0</v>
      </c>
      <c r="L87" s="483" t="e">
        <f t="shared" si="5"/>
        <v>#DIV/0!</v>
      </c>
      <c r="M87" s="483" t="str">
        <f t="shared" si="6"/>
        <v>NA</v>
      </c>
      <c r="N87" s="600" t="b">
        <f t="shared" si="7"/>
        <v>0</v>
      </c>
      <c r="O87" s="612">
        <f t="shared" si="8"/>
        <v>0</v>
      </c>
      <c r="P87" s="613" t="e">
        <f t="shared" si="9"/>
        <v>#N/A</v>
      </c>
      <c r="Q87" s="424" t="e">
        <f t="shared" si="10"/>
        <v>#N/A</v>
      </c>
      <c r="R87" s="611" t="e">
        <f t="shared" si="11"/>
        <v>#N/A</v>
      </c>
      <c r="S87" s="484">
        <f t="shared" si="12"/>
        <v>0</v>
      </c>
      <c r="T87" s="374">
        <f t="shared" si="13"/>
      </c>
      <c r="U87" s="374">
        <f t="shared" si="14"/>
      </c>
    </row>
    <row r="88" spans="1:21" ht="12.75">
      <c r="A88" s="845"/>
      <c r="B88" s="842"/>
      <c r="C88" s="827"/>
      <c r="D88" s="827"/>
      <c r="E88" s="588" t="e">
        <f t="shared" si="3"/>
        <v>#N/A</v>
      </c>
      <c r="F88" s="831"/>
      <c r="G88" s="831"/>
      <c r="H88" s="831"/>
      <c r="I88" s="481" t="e">
        <f t="shared" si="4"/>
        <v>#N/A</v>
      </c>
      <c r="J88" s="834"/>
      <c r="K88" s="482">
        <f t="shared" si="15"/>
        <v>0</v>
      </c>
      <c r="L88" s="483" t="e">
        <f t="shared" si="5"/>
        <v>#DIV/0!</v>
      </c>
      <c r="M88" s="483" t="str">
        <f t="shared" si="6"/>
        <v>NA</v>
      </c>
      <c r="N88" s="600" t="b">
        <f t="shared" si="7"/>
        <v>0</v>
      </c>
      <c r="O88" s="612">
        <f t="shared" si="8"/>
        <v>0</v>
      </c>
      <c r="P88" s="613" t="e">
        <f t="shared" si="9"/>
        <v>#N/A</v>
      </c>
      <c r="Q88" s="424" t="e">
        <f t="shared" si="10"/>
        <v>#N/A</v>
      </c>
      <c r="R88" s="611" t="e">
        <f t="shared" si="11"/>
        <v>#N/A</v>
      </c>
      <c r="S88" s="484">
        <f t="shared" si="12"/>
        <v>0</v>
      </c>
      <c r="T88" s="374">
        <f t="shared" si="13"/>
      </c>
      <c r="U88" s="374">
        <f t="shared" si="14"/>
      </c>
    </row>
    <row r="89" spans="1:21" ht="12.75">
      <c r="A89" s="845"/>
      <c r="B89" s="842"/>
      <c r="C89" s="827"/>
      <c r="D89" s="827"/>
      <c r="E89" s="588" t="e">
        <f t="shared" si="3"/>
        <v>#N/A</v>
      </c>
      <c r="F89" s="831"/>
      <c r="G89" s="831"/>
      <c r="H89" s="831"/>
      <c r="I89" s="481" t="e">
        <f t="shared" si="4"/>
        <v>#N/A</v>
      </c>
      <c r="J89" s="834"/>
      <c r="K89" s="482">
        <f t="shared" si="15"/>
        <v>0</v>
      </c>
      <c r="L89" s="483" t="e">
        <f t="shared" si="5"/>
        <v>#DIV/0!</v>
      </c>
      <c r="M89" s="483" t="str">
        <f t="shared" si="6"/>
        <v>NA</v>
      </c>
      <c r="N89" s="600" t="b">
        <f t="shared" si="7"/>
        <v>0</v>
      </c>
      <c r="O89" s="612">
        <f t="shared" si="8"/>
        <v>0</v>
      </c>
      <c r="P89" s="613" t="e">
        <f t="shared" si="9"/>
        <v>#N/A</v>
      </c>
      <c r="Q89" s="424" t="e">
        <f t="shared" si="10"/>
        <v>#N/A</v>
      </c>
      <c r="R89" s="611" t="e">
        <f t="shared" si="11"/>
        <v>#N/A</v>
      </c>
      <c r="S89" s="484">
        <f t="shared" si="12"/>
        <v>0</v>
      </c>
      <c r="T89" s="374">
        <f t="shared" si="13"/>
      </c>
      <c r="U89" s="374">
        <f t="shared" si="14"/>
      </c>
    </row>
    <row r="90" spans="1:21" ht="12.75">
      <c r="A90" s="832"/>
      <c r="B90" s="842"/>
      <c r="C90" s="827"/>
      <c r="D90" s="827"/>
      <c r="E90" s="588" t="e">
        <f t="shared" si="3"/>
        <v>#N/A</v>
      </c>
      <c r="F90" s="831"/>
      <c r="G90" s="831"/>
      <c r="H90" s="831"/>
      <c r="I90" s="481" t="e">
        <f t="shared" si="4"/>
        <v>#N/A</v>
      </c>
      <c r="J90" s="834"/>
      <c r="K90" s="482">
        <f t="shared" si="15"/>
        <v>0</v>
      </c>
      <c r="L90" s="483" t="e">
        <f t="shared" si="5"/>
        <v>#DIV/0!</v>
      </c>
      <c r="M90" s="483" t="str">
        <f t="shared" si="6"/>
        <v>NA</v>
      </c>
      <c r="N90" s="600" t="b">
        <f t="shared" si="7"/>
        <v>0</v>
      </c>
      <c r="O90" s="612">
        <f t="shared" si="8"/>
        <v>0</v>
      </c>
      <c r="P90" s="613" t="e">
        <f t="shared" si="9"/>
        <v>#N/A</v>
      </c>
      <c r="Q90" s="424" t="e">
        <f t="shared" si="10"/>
        <v>#N/A</v>
      </c>
      <c r="R90" s="611" t="e">
        <f t="shared" si="11"/>
        <v>#N/A</v>
      </c>
      <c r="S90" s="484">
        <f t="shared" si="12"/>
        <v>0</v>
      </c>
      <c r="T90" s="374">
        <f t="shared" si="13"/>
      </c>
      <c r="U90" s="374">
        <f t="shared" si="14"/>
      </c>
    </row>
    <row r="91" spans="1:21" ht="12.75">
      <c r="A91" s="832"/>
      <c r="B91" s="842"/>
      <c r="C91" s="846"/>
      <c r="D91" s="827"/>
      <c r="E91" s="588" t="e">
        <f t="shared" si="3"/>
        <v>#N/A</v>
      </c>
      <c r="F91" s="831"/>
      <c r="G91" s="831"/>
      <c r="H91" s="831"/>
      <c r="I91" s="481" t="e">
        <f t="shared" si="4"/>
        <v>#N/A</v>
      </c>
      <c r="J91" s="834"/>
      <c r="K91" s="482">
        <f t="shared" si="15"/>
        <v>0</v>
      </c>
      <c r="L91" s="483" t="e">
        <f t="shared" si="5"/>
        <v>#DIV/0!</v>
      </c>
      <c r="M91" s="483" t="str">
        <f t="shared" si="6"/>
        <v>NA</v>
      </c>
      <c r="N91" s="600" t="b">
        <f t="shared" si="7"/>
        <v>0</v>
      </c>
      <c r="O91" s="612">
        <f t="shared" si="8"/>
        <v>0</v>
      </c>
      <c r="P91" s="613" t="e">
        <f t="shared" si="9"/>
        <v>#N/A</v>
      </c>
      <c r="Q91" s="424" t="e">
        <f t="shared" si="10"/>
        <v>#N/A</v>
      </c>
      <c r="R91" s="611" t="e">
        <f t="shared" si="11"/>
        <v>#N/A</v>
      </c>
      <c r="S91" s="484">
        <f t="shared" si="12"/>
        <v>0</v>
      </c>
      <c r="T91" s="374">
        <f t="shared" si="13"/>
      </c>
      <c r="U91" s="374">
        <f t="shared" si="14"/>
      </c>
    </row>
    <row r="92" spans="1:21" ht="12.75">
      <c r="A92" s="832"/>
      <c r="B92" s="842"/>
      <c r="C92" s="827"/>
      <c r="D92" s="827"/>
      <c r="E92" s="588" t="e">
        <f t="shared" si="3"/>
        <v>#N/A</v>
      </c>
      <c r="F92" s="831"/>
      <c r="G92" s="831"/>
      <c r="H92" s="831"/>
      <c r="I92" s="481" t="e">
        <f t="shared" si="4"/>
        <v>#N/A</v>
      </c>
      <c r="J92" s="834"/>
      <c r="K92" s="482">
        <f t="shared" si="15"/>
        <v>0</v>
      </c>
      <c r="L92" s="483" t="e">
        <f t="shared" si="5"/>
        <v>#DIV/0!</v>
      </c>
      <c r="M92" s="483" t="str">
        <f t="shared" si="6"/>
        <v>NA</v>
      </c>
      <c r="N92" s="600" t="b">
        <f t="shared" si="7"/>
        <v>0</v>
      </c>
      <c r="O92" s="612">
        <f t="shared" si="8"/>
        <v>0</v>
      </c>
      <c r="P92" s="613" t="e">
        <f t="shared" si="9"/>
        <v>#N/A</v>
      </c>
      <c r="Q92" s="424" t="e">
        <f t="shared" si="10"/>
        <v>#N/A</v>
      </c>
      <c r="R92" s="611" t="e">
        <f t="shared" si="11"/>
        <v>#N/A</v>
      </c>
      <c r="S92" s="484">
        <f t="shared" si="12"/>
        <v>0</v>
      </c>
      <c r="T92" s="374">
        <f t="shared" si="13"/>
      </c>
      <c r="U92" s="374">
        <f aca="true" t="shared" si="16" ref="U92:U155">IF(F92&gt;0,IF(Q92&lt;R92,"Insufficient lighting to meet IESNA footcandle recommendations.",""),"")</f>
      </c>
    </row>
    <row r="93" spans="1:21" ht="12.75">
      <c r="A93" s="832"/>
      <c r="B93" s="842"/>
      <c r="C93" s="827"/>
      <c r="D93" s="827"/>
      <c r="E93" s="588" t="e">
        <f aca="true" t="shared" si="17" ref="E93:E156">LOOKUP(D93,$W$2:$W$17,$AD$2:$AD$17)</f>
        <v>#N/A</v>
      </c>
      <c r="F93" s="831"/>
      <c r="G93" s="831"/>
      <c r="H93" s="831"/>
      <c r="I93" s="481" t="e">
        <f aca="true" t="shared" si="18" ref="I93:I156">VLOOKUP(G93,$I$2:$K$24,3,FALSE)</f>
        <v>#N/A</v>
      </c>
      <c r="J93" s="834"/>
      <c r="K93" s="482">
        <f t="shared" si="15"/>
        <v>0</v>
      </c>
      <c r="L93" s="483" t="e">
        <f aca="true" t="shared" si="19" ref="L93:L156">IF(D93="Exit Signs","convert to kW",K93/(B93*J93))</f>
        <v>#DIV/0!</v>
      </c>
      <c r="M93" s="483" t="str">
        <f aca="true" t="shared" si="20" ref="M93:M156">IF(H93="Yes",IF(D93="Stairs - Active",0.65*L93,IF(D93="Corridor/Transition",0.75*L93,IF(D93="Conference/meeting/multipurpose",1*L93,IF(D93="Community or Computer Room",1*L93,0.9*L93)))),"NA")</f>
        <v>NA</v>
      </c>
      <c r="N93" s="600" t="b">
        <f aca="true" t="shared" si="21" ref="N93:N156">IF($C$15="Space-By-Space (90.1-2007)",LOOKUP(D93,$W$2:$W$17,$X$2:$X$17),IF($C$15="Space-By-Space (90.1-2010)",LOOKUP(D93,$W$2:$W$17,$Y$2:$Y$17),IF($C$15="Building Area (90.1-2007)",LOOKUP(D93,$W$2:$W$17,$Z$2:$Z$17),IF($C$15="Building Area (90.1-2010)",LOOKUP(D93,$W$2:$W$17,$AA$2:$AA$17),IF($C$15="CA Title 24-2013",LOOKUP(D93,$W$2:$W$17,$AB$2:$AB$17))))))</f>
        <v>0</v>
      </c>
      <c r="O93" s="612">
        <f aca="true" t="shared" si="22" ref="O93:O156">IF(D93="Exit Signs",0,IF(B93&gt;0,N93*B93*J93,0))</f>
        <v>0</v>
      </c>
      <c r="P93" s="613" t="e">
        <f aca="true" t="shared" si="23" ref="P93:P156">LOOKUP(G93,$I$2:$I$24,$J$2:$J$24)*LOOKUP(LOOKUP(G93,$I$2:$I$24,$L$2:$L$24),$AF$2:$AF$17,$AJ$2:$AJ$17)*IF(E93="A",LOOKUP(LOOKUP(G93,$I$2:$I$24,$L$2:$L$24),$AF$2:$AF$17,$AG$2:$AG$17),IF(E93="B",LOOKUP(LOOKUP(G93,$I$2:$I$24,$L$2:$L$24),$AF$2:$AF$17,$AH$2:$AH$17),IF(E93="C",LOOKUP(LOOKUP(G93,$I$2:$I$24,$L$2:$L$24),$AF$2:$AF$17,$AI$2:$AI$17))))</f>
        <v>#N/A</v>
      </c>
      <c r="Q93" s="424" t="e">
        <f aca="true" t="shared" si="24" ref="Q93:Q156">P93*K93/S93</f>
        <v>#N/A</v>
      </c>
      <c r="R93" s="611" t="e">
        <f aca="true" t="shared" si="25" ref="R93:R156">LOOKUP(D93,$W$2:$W$17,$AC$2:$AC$17)</f>
        <v>#N/A</v>
      </c>
      <c r="S93" s="484">
        <f aca="true" t="shared" si="26" ref="S93:S156">B93*J93</f>
        <v>0</v>
      </c>
      <c r="T93" s="374">
        <f aca="true" t="shared" si="27" ref="T93:T156">IF(F93&gt;0,IF(Q93&lt;R93,"Insufficient lighting to meet IESNA footcandle recommendations.",""),"")</f>
      </c>
      <c r="U93" s="374">
        <f t="shared" si="16"/>
      </c>
    </row>
    <row r="94" spans="1:21" ht="12.75">
      <c r="A94" s="832"/>
      <c r="B94" s="842"/>
      <c r="C94" s="827"/>
      <c r="D94" s="827"/>
      <c r="E94" s="588" t="e">
        <f t="shared" si="17"/>
        <v>#N/A</v>
      </c>
      <c r="F94" s="831"/>
      <c r="G94" s="831"/>
      <c r="H94" s="831"/>
      <c r="I94" s="481" t="e">
        <f t="shared" si="18"/>
        <v>#N/A</v>
      </c>
      <c r="J94" s="834"/>
      <c r="K94" s="482">
        <f t="shared" si="15"/>
        <v>0</v>
      </c>
      <c r="L94" s="483" t="e">
        <f t="shared" si="19"/>
        <v>#DIV/0!</v>
      </c>
      <c r="M94" s="483" t="str">
        <f t="shared" si="20"/>
        <v>NA</v>
      </c>
      <c r="N94" s="600" t="b">
        <f t="shared" si="21"/>
        <v>0</v>
      </c>
      <c r="O94" s="612">
        <f t="shared" si="22"/>
        <v>0</v>
      </c>
      <c r="P94" s="613" t="e">
        <f t="shared" si="23"/>
        <v>#N/A</v>
      </c>
      <c r="Q94" s="424" t="e">
        <f t="shared" si="24"/>
        <v>#N/A</v>
      </c>
      <c r="R94" s="611" t="e">
        <f t="shared" si="25"/>
        <v>#N/A</v>
      </c>
      <c r="S94" s="484">
        <f t="shared" si="26"/>
        <v>0</v>
      </c>
      <c r="T94" s="374">
        <f t="shared" si="27"/>
      </c>
      <c r="U94" s="374">
        <f t="shared" si="16"/>
      </c>
    </row>
    <row r="95" spans="1:21" ht="12.75">
      <c r="A95" s="832"/>
      <c r="B95" s="842"/>
      <c r="C95" s="827"/>
      <c r="D95" s="827"/>
      <c r="E95" s="588" t="e">
        <f t="shared" si="17"/>
        <v>#N/A</v>
      </c>
      <c r="F95" s="831"/>
      <c r="G95" s="831"/>
      <c r="H95" s="831"/>
      <c r="I95" s="481" t="e">
        <f t="shared" si="18"/>
        <v>#N/A</v>
      </c>
      <c r="J95" s="834"/>
      <c r="K95" s="482">
        <f t="shared" si="15"/>
        <v>0</v>
      </c>
      <c r="L95" s="483" t="e">
        <f t="shared" si="19"/>
        <v>#DIV/0!</v>
      </c>
      <c r="M95" s="483" t="str">
        <f t="shared" si="20"/>
        <v>NA</v>
      </c>
      <c r="N95" s="600" t="b">
        <f t="shared" si="21"/>
        <v>0</v>
      </c>
      <c r="O95" s="612">
        <f t="shared" si="22"/>
        <v>0</v>
      </c>
      <c r="P95" s="613" t="e">
        <f t="shared" si="23"/>
        <v>#N/A</v>
      </c>
      <c r="Q95" s="424" t="e">
        <f t="shared" si="24"/>
        <v>#N/A</v>
      </c>
      <c r="R95" s="611" t="e">
        <f t="shared" si="25"/>
        <v>#N/A</v>
      </c>
      <c r="S95" s="484">
        <f t="shared" si="26"/>
        <v>0</v>
      </c>
      <c r="T95" s="374">
        <f t="shared" si="27"/>
      </c>
      <c r="U95" s="374">
        <f t="shared" si="16"/>
      </c>
    </row>
    <row r="96" spans="1:21" ht="12.75">
      <c r="A96" s="832"/>
      <c r="B96" s="842"/>
      <c r="C96" s="827"/>
      <c r="D96" s="827"/>
      <c r="E96" s="588" t="e">
        <f t="shared" si="17"/>
        <v>#N/A</v>
      </c>
      <c r="F96" s="831"/>
      <c r="G96" s="831"/>
      <c r="H96" s="831"/>
      <c r="I96" s="481" t="e">
        <f t="shared" si="18"/>
        <v>#N/A</v>
      </c>
      <c r="J96" s="834"/>
      <c r="K96" s="482">
        <f t="shared" si="15"/>
        <v>0</v>
      </c>
      <c r="L96" s="483" t="e">
        <f t="shared" si="19"/>
        <v>#DIV/0!</v>
      </c>
      <c r="M96" s="483" t="str">
        <f t="shared" si="20"/>
        <v>NA</v>
      </c>
      <c r="N96" s="600" t="b">
        <f t="shared" si="21"/>
        <v>0</v>
      </c>
      <c r="O96" s="612">
        <f t="shared" si="22"/>
        <v>0</v>
      </c>
      <c r="P96" s="613" t="e">
        <f t="shared" si="23"/>
        <v>#N/A</v>
      </c>
      <c r="Q96" s="424" t="e">
        <f t="shared" si="24"/>
        <v>#N/A</v>
      </c>
      <c r="R96" s="611" t="e">
        <f t="shared" si="25"/>
        <v>#N/A</v>
      </c>
      <c r="S96" s="484">
        <f t="shared" si="26"/>
        <v>0</v>
      </c>
      <c r="T96" s="374">
        <f t="shared" si="27"/>
      </c>
      <c r="U96" s="374">
        <f t="shared" si="16"/>
      </c>
    </row>
    <row r="97" spans="1:21" ht="12.75">
      <c r="A97" s="832"/>
      <c r="B97" s="842"/>
      <c r="C97" s="846"/>
      <c r="D97" s="827"/>
      <c r="E97" s="588" t="e">
        <f t="shared" si="17"/>
        <v>#N/A</v>
      </c>
      <c r="F97" s="831"/>
      <c r="G97" s="831"/>
      <c r="H97" s="831"/>
      <c r="I97" s="481" t="e">
        <f t="shared" si="18"/>
        <v>#N/A</v>
      </c>
      <c r="J97" s="834"/>
      <c r="K97" s="482">
        <f t="shared" si="15"/>
        <v>0</v>
      </c>
      <c r="L97" s="483" t="e">
        <f t="shared" si="19"/>
        <v>#DIV/0!</v>
      </c>
      <c r="M97" s="483" t="str">
        <f t="shared" si="20"/>
        <v>NA</v>
      </c>
      <c r="N97" s="600" t="b">
        <f t="shared" si="21"/>
        <v>0</v>
      </c>
      <c r="O97" s="612">
        <f t="shared" si="22"/>
        <v>0</v>
      </c>
      <c r="P97" s="613" t="e">
        <f t="shared" si="23"/>
        <v>#N/A</v>
      </c>
      <c r="Q97" s="424" t="e">
        <f t="shared" si="24"/>
        <v>#N/A</v>
      </c>
      <c r="R97" s="611" t="e">
        <f t="shared" si="25"/>
        <v>#N/A</v>
      </c>
      <c r="S97" s="484">
        <f t="shared" si="26"/>
        <v>0</v>
      </c>
      <c r="T97" s="374">
        <f t="shared" si="27"/>
      </c>
      <c r="U97" s="374">
        <f t="shared" si="16"/>
      </c>
    </row>
    <row r="98" spans="1:21" ht="12.75">
      <c r="A98" s="832"/>
      <c r="B98" s="842"/>
      <c r="C98" s="827"/>
      <c r="D98" s="827"/>
      <c r="E98" s="588" t="e">
        <f t="shared" si="17"/>
        <v>#N/A</v>
      </c>
      <c r="F98" s="831"/>
      <c r="G98" s="831"/>
      <c r="H98" s="831"/>
      <c r="I98" s="481" t="e">
        <f t="shared" si="18"/>
        <v>#N/A</v>
      </c>
      <c r="J98" s="834"/>
      <c r="K98" s="482">
        <f aca="true" t="shared" si="28" ref="K98:K161">IF(D98="Exit Signs",0,IF(F98&gt;0,F98*I98*J98,0))</f>
        <v>0</v>
      </c>
      <c r="L98" s="483" t="e">
        <f t="shared" si="19"/>
        <v>#DIV/0!</v>
      </c>
      <c r="M98" s="483" t="str">
        <f t="shared" si="20"/>
        <v>NA</v>
      </c>
      <c r="N98" s="600" t="b">
        <f t="shared" si="21"/>
        <v>0</v>
      </c>
      <c r="O98" s="612">
        <f t="shared" si="22"/>
        <v>0</v>
      </c>
      <c r="P98" s="613" t="e">
        <f t="shared" si="23"/>
        <v>#N/A</v>
      </c>
      <c r="Q98" s="424" t="e">
        <f t="shared" si="24"/>
        <v>#N/A</v>
      </c>
      <c r="R98" s="611" t="e">
        <f t="shared" si="25"/>
        <v>#N/A</v>
      </c>
      <c r="S98" s="484">
        <f t="shared" si="26"/>
        <v>0</v>
      </c>
      <c r="T98" s="374">
        <f t="shared" si="27"/>
      </c>
      <c r="U98" s="374">
        <f t="shared" si="16"/>
      </c>
    </row>
    <row r="99" spans="1:21" ht="12.75">
      <c r="A99" s="832"/>
      <c r="B99" s="842"/>
      <c r="C99" s="827"/>
      <c r="D99" s="827"/>
      <c r="E99" s="588" t="e">
        <f t="shared" si="17"/>
        <v>#N/A</v>
      </c>
      <c r="F99" s="831"/>
      <c r="G99" s="831"/>
      <c r="H99" s="831"/>
      <c r="I99" s="481" t="e">
        <f t="shared" si="18"/>
        <v>#N/A</v>
      </c>
      <c r="J99" s="834"/>
      <c r="K99" s="482">
        <f t="shared" si="28"/>
        <v>0</v>
      </c>
      <c r="L99" s="483" t="e">
        <f t="shared" si="19"/>
        <v>#DIV/0!</v>
      </c>
      <c r="M99" s="483" t="str">
        <f t="shared" si="20"/>
        <v>NA</v>
      </c>
      <c r="N99" s="600" t="b">
        <f t="shared" si="21"/>
        <v>0</v>
      </c>
      <c r="O99" s="612">
        <f t="shared" si="22"/>
        <v>0</v>
      </c>
      <c r="P99" s="613" t="e">
        <f t="shared" si="23"/>
        <v>#N/A</v>
      </c>
      <c r="Q99" s="424" t="e">
        <f t="shared" si="24"/>
        <v>#N/A</v>
      </c>
      <c r="R99" s="611" t="e">
        <f t="shared" si="25"/>
        <v>#N/A</v>
      </c>
      <c r="S99" s="484">
        <f t="shared" si="26"/>
        <v>0</v>
      </c>
      <c r="T99" s="374">
        <f t="shared" si="27"/>
      </c>
      <c r="U99" s="374">
        <f t="shared" si="16"/>
      </c>
    </row>
    <row r="100" spans="1:21" ht="12.75">
      <c r="A100" s="832"/>
      <c r="B100" s="842"/>
      <c r="C100" s="827"/>
      <c r="D100" s="827"/>
      <c r="E100" s="588" t="e">
        <f t="shared" si="17"/>
        <v>#N/A</v>
      </c>
      <c r="F100" s="831"/>
      <c r="G100" s="831"/>
      <c r="H100" s="831"/>
      <c r="I100" s="481" t="e">
        <f t="shared" si="18"/>
        <v>#N/A</v>
      </c>
      <c r="J100" s="834"/>
      <c r="K100" s="482">
        <f t="shared" si="28"/>
        <v>0</v>
      </c>
      <c r="L100" s="483" t="e">
        <f t="shared" si="19"/>
        <v>#DIV/0!</v>
      </c>
      <c r="M100" s="483" t="str">
        <f t="shared" si="20"/>
        <v>NA</v>
      </c>
      <c r="N100" s="600" t="b">
        <f t="shared" si="21"/>
        <v>0</v>
      </c>
      <c r="O100" s="612">
        <f t="shared" si="22"/>
        <v>0</v>
      </c>
      <c r="P100" s="613" t="e">
        <f t="shared" si="23"/>
        <v>#N/A</v>
      </c>
      <c r="Q100" s="424" t="e">
        <f t="shared" si="24"/>
        <v>#N/A</v>
      </c>
      <c r="R100" s="611" t="e">
        <f t="shared" si="25"/>
        <v>#N/A</v>
      </c>
      <c r="S100" s="484">
        <f t="shared" si="26"/>
        <v>0</v>
      </c>
      <c r="T100" s="374">
        <f t="shared" si="27"/>
      </c>
      <c r="U100" s="374">
        <f t="shared" si="16"/>
      </c>
    </row>
    <row r="101" spans="1:21" ht="12.75">
      <c r="A101" s="832"/>
      <c r="B101" s="842"/>
      <c r="C101" s="827"/>
      <c r="D101" s="827"/>
      <c r="E101" s="588" t="e">
        <f t="shared" si="17"/>
        <v>#N/A</v>
      </c>
      <c r="F101" s="831"/>
      <c r="G101" s="831"/>
      <c r="H101" s="831"/>
      <c r="I101" s="481" t="e">
        <f t="shared" si="18"/>
        <v>#N/A</v>
      </c>
      <c r="J101" s="834"/>
      <c r="K101" s="482">
        <f t="shared" si="28"/>
        <v>0</v>
      </c>
      <c r="L101" s="483" t="e">
        <f t="shared" si="19"/>
        <v>#DIV/0!</v>
      </c>
      <c r="M101" s="483" t="str">
        <f t="shared" si="20"/>
        <v>NA</v>
      </c>
      <c r="N101" s="600" t="b">
        <f t="shared" si="21"/>
        <v>0</v>
      </c>
      <c r="O101" s="612">
        <f t="shared" si="22"/>
        <v>0</v>
      </c>
      <c r="P101" s="613" t="e">
        <f t="shared" si="23"/>
        <v>#N/A</v>
      </c>
      <c r="Q101" s="424" t="e">
        <f t="shared" si="24"/>
        <v>#N/A</v>
      </c>
      <c r="R101" s="611" t="e">
        <f t="shared" si="25"/>
        <v>#N/A</v>
      </c>
      <c r="S101" s="484">
        <f t="shared" si="26"/>
        <v>0</v>
      </c>
      <c r="T101" s="374">
        <f t="shared" si="27"/>
      </c>
      <c r="U101" s="374">
        <f t="shared" si="16"/>
      </c>
    </row>
    <row r="102" spans="1:21" ht="12.75">
      <c r="A102" s="832"/>
      <c r="B102" s="842"/>
      <c r="C102" s="827"/>
      <c r="D102" s="827"/>
      <c r="E102" s="588" t="e">
        <f t="shared" si="17"/>
        <v>#N/A</v>
      </c>
      <c r="F102" s="831"/>
      <c r="G102" s="831"/>
      <c r="H102" s="831"/>
      <c r="I102" s="481" t="e">
        <f t="shared" si="18"/>
        <v>#N/A</v>
      </c>
      <c r="J102" s="834"/>
      <c r="K102" s="482">
        <f t="shared" si="28"/>
        <v>0</v>
      </c>
      <c r="L102" s="483" t="e">
        <f t="shared" si="19"/>
        <v>#DIV/0!</v>
      </c>
      <c r="M102" s="483" t="str">
        <f t="shared" si="20"/>
        <v>NA</v>
      </c>
      <c r="N102" s="600" t="b">
        <f t="shared" si="21"/>
        <v>0</v>
      </c>
      <c r="O102" s="612">
        <f t="shared" si="22"/>
        <v>0</v>
      </c>
      <c r="P102" s="613" t="e">
        <f t="shared" si="23"/>
        <v>#N/A</v>
      </c>
      <c r="Q102" s="424" t="e">
        <f t="shared" si="24"/>
        <v>#N/A</v>
      </c>
      <c r="R102" s="611" t="e">
        <f t="shared" si="25"/>
        <v>#N/A</v>
      </c>
      <c r="S102" s="484">
        <f t="shared" si="26"/>
        <v>0</v>
      </c>
      <c r="T102" s="374">
        <f t="shared" si="27"/>
      </c>
      <c r="U102" s="374">
        <f t="shared" si="16"/>
      </c>
    </row>
    <row r="103" spans="1:21" ht="12.75">
      <c r="A103" s="832"/>
      <c r="B103" s="842"/>
      <c r="C103" s="846"/>
      <c r="D103" s="827"/>
      <c r="E103" s="588" t="e">
        <f t="shared" si="17"/>
        <v>#N/A</v>
      </c>
      <c r="F103" s="831"/>
      <c r="G103" s="831"/>
      <c r="H103" s="831"/>
      <c r="I103" s="481" t="e">
        <f t="shared" si="18"/>
        <v>#N/A</v>
      </c>
      <c r="J103" s="834"/>
      <c r="K103" s="482">
        <f t="shared" si="28"/>
        <v>0</v>
      </c>
      <c r="L103" s="483" t="e">
        <f t="shared" si="19"/>
        <v>#DIV/0!</v>
      </c>
      <c r="M103" s="483" t="str">
        <f t="shared" si="20"/>
        <v>NA</v>
      </c>
      <c r="N103" s="600" t="b">
        <f t="shared" si="21"/>
        <v>0</v>
      </c>
      <c r="O103" s="612">
        <f t="shared" si="22"/>
        <v>0</v>
      </c>
      <c r="P103" s="613" t="e">
        <f t="shared" si="23"/>
        <v>#N/A</v>
      </c>
      <c r="Q103" s="424" t="e">
        <f t="shared" si="24"/>
        <v>#N/A</v>
      </c>
      <c r="R103" s="611" t="e">
        <f t="shared" si="25"/>
        <v>#N/A</v>
      </c>
      <c r="S103" s="484">
        <f t="shared" si="26"/>
        <v>0</v>
      </c>
      <c r="T103" s="374">
        <f t="shared" si="27"/>
      </c>
      <c r="U103" s="374">
        <f t="shared" si="16"/>
      </c>
    </row>
    <row r="104" spans="1:21" ht="12.75">
      <c r="A104" s="832"/>
      <c r="B104" s="842"/>
      <c r="C104" s="827"/>
      <c r="D104" s="827"/>
      <c r="E104" s="588" t="e">
        <f t="shared" si="17"/>
        <v>#N/A</v>
      </c>
      <c r="F104" s="831"/>
      <c r="G104" s="831"/>
      <c r="H104" s="831"/>
      <c r="I104" s="481" t="e">
        <f t="shared" si="18"/>
        <v>#N/A</v>
      </c>
      <c r="J104" s="834"/>
      <c r="K104" s="482">
        <f t="shared" si="28"/>
        <v>0</v>
      </c>
      <c r="L104" s="483" t="e">
        <f t="shared" si="19"/>
        <v>#DIV/0!</v>
      </c>
      <c r="M104" s="483" t="str">
        <f t="shared" si="20"/>
        <v>NA</v>
      </c>
      <c r="N104" s="600" t="b">
        <f t="shared" si="21"/>
        <v>0</v>
      </c>
      <c r="O104" s="612">
        <f t="shared" si="22"/>
        <v>0</v>
      </c>
      <c r="P104" s="613" t="e">
        <f t="shared" si="23"/>
        <v>#N/A</v>
      </c>
      <c r="Q104" s="424" t="e">
        <f t="shared" si="24"/>
        <v>#N/A</v>
      </c>
      <c r="R104" s="611" t="e">
        <f t="shared" si="25"/>
        <v>#N/A</v>
      </c>
      <c r="S104" s="484">
        <f t="shared" si="26"/>
        <v>0</v>
      </c>
      <c r="T104" s="374">
        <f t="shared" si="27"/>
      </c>
      <c r="U104" s="374">
        <f t="shared" si="16"/>
      </c>
    </row>
    <row r="105" spans="1:21" ht="12.75">
      <c r="A105" s="832"/>
      <c r="B105" s="842"/>
      <c r="C105" s="827"/>
      <c r="D105" s="827"/>
      <c r="E105" s="588" t="e">
        <f t="shared" si="17"/>
        <v>#N/A</v>
      </c>
      <c r="F105" s="831"/>
      <c r="G105" s="831"/>
      <c r="H105" s="831"/>
      <c r="I105" s="481" t="e">
        <f t="shared" si="18"/>
        <v>#N/A</v>
      </c>
      <c r="J105" s="834"/>
      <c r="K105" s="482">
        <f t="shared" si="28"/>
        <v>0</v>
      </c>
      <c r="L105" s="483" t="e">
        <f t="shared" si="19"/>
        <v>#DIV/0!</v>
      </c>
      <c r="M105" s="483" t="str">
        <f t="shared" si="20"/>
        <v>NA</v>
      </c>
      <c r="N105" s="600" t="b">
        <f t="shared" si="21"/>
        <v>0</v>
      </c>
      <c r="O105" s="612">
        <f t="shared" si="22"/>
        <v>0</v>
      </c>
      <c r="P105" s="613" t="e">
        <f t="shared" si="23"/>
        <v>#N/A</v>
      </c>
      <c r="Q105" s="424" t="e">
        <f t="shared" si="24"/>
        <v>#N/A</v>
      </c>
      <c r="R105" s="611" t="e">
        <f t="shared" si="25"/>
        <v>#N/A</v>
      </c>
      <c r="S105" s="484">
        <f t="shared" si="26"/>
        <v>0</v>
      </c>
      <c r="T105" s="374">
        <f t="shared" si="27"/>
      </c>
      <c r="U105" s="374">
        <f t="shared" si="16"/>
      </c>
    </row>
    <row r="106" spans="1:21" ht="12.75">
      <c r="A106" s="832"/>
      <c r="B106" s="842"/>
      <c r="C106" s="827"/>
      <c r="D106" s="827"/>
      <c r="E106" s="588" t="e">
        <f t="shared" si="17"/>
        <v>#N/A</v>
      </c>
      <c r="F106" s="831"/>
      <c r="G106" s="831"/>
      <c r="H106" s="831"/>
      <c r="I106" s="481" t="e">
        <f t="shared" si="18"/>
        <v>#N/A</v>
      </c>
      <c r="J106" s="834"/>
      <c r="K106" s="482">
        <f t="shared" si="28"/>
        <v>0</v>
      </c>
      <c r="L106" s="483" t="e">
        <f t="shared" si="19"/>
        <v>#DIV/0!</v>
      </c>
      <c r="M106" s="483" t="str">
        <f t="shared" si="20"/>
        <v>NA</v>
      </c>
      <c r="N106" s="600" t="b">
        <f t="shared" si="21"/>
        <v>0</v>
      </c>
      <c r="O106" s="612">
        <f t="shared" si="22"/>
        <v>0</v>
      </c>
      <c r="P106" s="613" t="e">
        <f t="shared" si="23"/>
        <v>#N/A</v>
      </c>
      <c r="Q106" s="424" t="e">
        <f t="shared" si="24"/>
        <v>#N/A</v>
      </c>
      <c r="R106" s="611" t="e">
        <f t="shared" si="25"/>
        <v>#N/A</v>
      </c>
      <c r="S106" s="484">
        <f t="shared" si="26"/>
        <v>0</v>
      </c>
      <c r="T106" s="374">
        <f t="shared" si="27"/>
      </c>
      <c r="U106" s="374">
        <f t="shared" si="16"/>
      </c>
    </row>
    <row r="107" spans="1:21" ht="12.75">
      <c r="A107" s="832"/>
      <c r="B107" s="842"/>
      <c r="C107" s="827"/>
      <c r="D107" s="827"/>
      <c r="E107" s="588" t="e">
        <f t="shared" si="17"/>
        <v>#N/A</v>
      </c>
      <c r="F107" s="831"/>
      <c r="G107" s="831"/>
      <c r="H107" s="831"/>
      <c r="I107" s="481" t="e">
        <f t="shared" si="18"/>
        <v>#N/A</v>
      </c>
      <c r="J107" s="834"/>
      <c r="K107" s="482">
        <f t="shared" si="28"/>
        <v>0</v>
      </c>
      <c r="L107" s="483" t="e">
        <f t="shared" si="19"/>
        <v>#DIV/0!</v>
      </c>
      <c r="M107" s="483" t="str">
        <f t="shared" si="20"/>
        <v>NA</v>
      </c>
      <c r="N107" s="600" t="b">
        <f t="shared" si="21"/>
        <v>0</v>
      </c>
      <c r="O107" s="612">
        <f t="shared" si="22"/>
        <v>0</v>
      </c>
      <c r="P107" s="613" t="e">
        <f t="shared" si="23"/>
        <v>#N/A</v>
      </c>
      <c r="Q107" s="424" t="e">
        <f t="shared" si="24"/>
        <v>#N/A</v>
      </c>
      <c r="R107" s="611" t="e">
        <f t="shared" si="25"/>
        <v>#N/A</v>
      </c>
      <c r="S107" s="484">
        <f t="shared" si="26"/>
        <v>0</v>
      </c>
      <c r="T107" s="374">
        <f t="shared" si="27"/>
      </c>
      <c r="U107" s="374">
        <f t="shared" si="16"/>
      </c>
    </row>
    <row r="108" spans="1:21" ht="12.75">
      <c r="A108" s="832"/>
      <c r="B108" s="842"/>
      <c r="C108" s="827"/>
      <c r="D108" s="827"/>
      <c r="E108" s="588" t="e">
        <f t="shared" si="17"/>
        <v>#N/A</v>
      </c>
      <c r="F108" s="831"/>
      <c r="G108" s="831"/>
      <c r="H108" s="831"/>
      <c r="I108" s="481" t="e">
        <f t="shared" si="18"/>
        <v>#N/A</v>
      </c>
      <c r="J108" s="834"/>
      <c r="K108" s="482">
        <f t="shared" si="28"/>
        <v>0</v>
      </c>
      <c r="L108" s="483" t="e">
        <f t="shared" si="19"/>
        <v>#DIV/0!</v>
      </c>
      <c r="M108" s="483" t="str">
        <f t="shared" si="20"/>
        <v>NA</v>
      </c>
      <c r="N108" s="600" t="b">
        <f t="shared" si="21"/>
        <v>0</v>
      </c>
      <c r="O108" s="612">
        <f t="shared" si="22"/>
        <v>0</v>
      </c>
      <c r="P108" s="613" t="e">
        <f t="shared" si="23"/>
        <v>#N/A</v>
      </c>
      <c r="Q108" s="424" t="e">
        <f t="shared" si="24"/>
        <v>#N/A</v>
      </c>
      <c r="R108" s="611" t="e">
        <f t="shared" si="25"/>
        <v>#N/A</v>
      </c>
      <c r="S108" s="484">
        <f t="shared" si="26"/>
        <v>0</v>
      </c>
      <c r="T108" s="374">
        <f t="shared" si="27"/>
      </c>
      <c r="U108" s="374">
        <f t="shared" si="16"/>
      </c>
    </row>
    <row r="109" spans="1:21" ht="12.75">
      <c r="A109" s="832"/>
      <c r="B109" s="842"/>
      <c r="C109" s="846"/>
      <c r="D109" s="827"/>
      <c r="E109" s="588" t="e">
        <f t="shared" si="17"/>
        <v>#N/A</v>
      </c>
      <c r="F109" s="831"/>
      <c r="G109" s="831"/>
      <c r="H109" s="831"/>
      <c r="I109" s="481" t="e">
        <f t="shared" si="18"/>
        <v>#N/A</v>
      </c>
      <c r="J109" s="834"/>
      <c r="K109" s="482">
        <f t="shared" si="28"/>
        <v>0</v>
      </c>
      <c r="L109" s="483" t="e">
        <f t="shared" si="19"/>
        <v>#DIV/0!</v>
      </c>
      <c r="M109" s="483" t="str">
        <f t="shared" si="20"/>
        <v>NA</v>
      </c>
      <c r="N109" s="600" t="b">
        <f t="shared" si="21"/>
        <v>0</v>
      </c>
      <c r="O109" s="612">
        <f t="shared" si="22"/>
        <v>0</v>
      </c>
      <c r="P109" s="613" t="e">
        <f t="shared" si="23"/>
        <v>#N/A</v>
      </c>
      <c r="Q109" s="424" t="e">
        <f t="shared" si="24"/>
        <v>#N/A</v>
      </c>
      <c r="R109" s="611" t="e">
        <f t="shared" si="25"/>
        <v>#N/A</v>
      </c>
      <c r="S109" s="484">
        <f t="shared" si="26"/>
        <v>0</v>
      </c>
      <c r="T109" s="374">
        <f t="shared" si="27"/>
      </c>
      <c r="U109" s="374">
        <f t="shared" si="16"/>
      </c>
    </row>
    <row r="110" spans="1:21" ht="12.75">
      <c r="A110" s="832"/>
      <c r="B110" s="842"/>
      <c r="C110" s="827"/>
      <c r="D110" s="827"/>
      <c r="E110" s="588" t="e">
        <f t="shared" si="17"/>
        <v>#N/A</v>
      </c>
      <c r="F110" s="831"/>
      <c r="G110" s="831"/>
      <c r="H110" s="831"/>
      <c r="I110" s="481" t="e">
        <f t="shared" si="18"/>
        <v>#N/A</v>
      </c>
      <c r="J110" s="834"/>
      <c r="K110" s="482">
        <f t="shared" si="28"/>
        <v>0</v>
      </c>
      <c r="L110" s="483" t="e">
        <f t="shared" si="19"/>
        <v>#DIV/0!</v>
      </c>
      <c r="M110" s="483" t="str">
        <f t="shared" si="20"/>
        <v>NA</v>
      </c>
      <c r="N110" s="600" t="b">
        <f t="shared" si="21"/>
        <v>0</v>
      </c>
      <c r="O110" s="612">
        <f t="shared" si="22"/>
        <v>0</v>
      </c>
      <c r="P110" s="613" t="e">
        <f t="shared" si="23"/>
        <v>#N/A</v>
      </c>
      <c r="Q110" s="424" t="e">
        <f t="shared" si="24"/>
        <v>#N/A</v>
      </c>
      <c r="R110" s="611" t="e">
        <f t="shared" si="25"/>
        <v>#N/A</v>
      </c>
      <c r="S110" s="484">
        <f t="shared" si="26"/>
        <v>0</v>
      </c>
      <c r="T110" s="374">
        <f t="shared" si="27"/>
      </c>
      <c r="U110" s="374">
        <f t="shared" si="16"/>
      </c>
    </row>
    <row r="111" spans="1:21" ht="12.75">
      <c r="A111" s="832"/>
      <c r="B111" s="842"/>
      <c r="C111" s="827"/>
      <c r="D111" s="827"/>
      <c r="E111" s="588" t="e">
        <f t="shared" si="17"/>
        <v>#N/A</v>
      </c>
      <c r="F111" s="831"/>
      <c r="G111" s="831"/>
      <c r="H111" s="831"/>
      <c r="I111" s="481" t="e">
        <f t="shared" si="18"/>
        <v>#N/A</v>
      </c>
      <c r="J111" s="834"/>
      <c r="K111" s="482">
        <f t="shared" si="28"/>
        <v>0</v>
      </c>
      <c r="L111" s="483" t="e">
        <f t="shared" si="19"/>
        <v>#DIV/0!</v>
      </c>
      <c r="M111" s="483" t="str">
        <f t="shared" si="20"/>
        <v>NA</v>
      </c>
      <c r="N111" s="600" t="b">
        <f t="shared" si="21"/>
        <v>0</v>
      </c>
      <c r="O111" s="612">
        <f t="shared" si="22"/>
        <v>0</v>
      </c>
      <c r="P111" s="613" t="e">
        <f t="shared" si="23"/>
        <v>#N/A</v>
      </c>
      <c r="Q111" s="424" t="e">
        <f t="shared" si="24"/>
        <v>#N/A</v>
      </c>
      <c r="R111" s="611" t="e">
        <f t="shared" si="25"/>
        <v>#N/A</v>
      </c>
      <c r="S111" s="484">
        <f t="shared" si="26"/>
        <v>0</v>
      </c>
      <c r="T111" s="374">
        <f t="shared" si="27"/>
      </c>
      <c r="U111" s="374">
        <f t="shared" si="16"/>
      </c>
    </row>
    <row r="112" spans="1:21" ht="12.75">
      <c r="A112" s="832"/>
      <c r="B112" s="842"/>
      <c r="C112" s="827"/>
      <c r="D112" s="827"/>
      <c r="E112" s="588" t="e">
        <f t="shared" si="17"/>
        <v>#N/A</v>
      </c>
      <c r="F112" s="831"/>
      <c r="G112" s="831"/>
      <c r="H112" s="831"/>
      <c r="I112" s="481" t="e">
        <f t="shared" si="18"/>
        <v>#N/A</v>
      </c>
      <c r="J112" s="834"/>
      <c r="K112" s="482">
        <f t="shared" si="28"/>
        <v>0</v>
      </c>
      <c r="L112" s="483" t="e">
        <f t="shared" si="19"/>
        <v>#DIV/0!</v>
      </c>
      <c r="M112" s="483" t="str">
        <f t="shared" si="20"/>
        <v>NA</v>
      </c>
      <c r="N112" s="600" t="b">
        <f t="shared" si="21"/>
        <v>0</v>
      </c>
      <c r="O112" s="612">
        <f t="shared" si="22"/>
        <v>0</v>
      </c>
      <c r="P112" s="613" t="e">
        <f t="shared" si="23"/>
        <v>#N/A</v>
      </c>
      <c r="Q112" s="424" t="e">
        <f t="shared" si="24"/>
        <v>#N/A</v>
      </c>
      <c r="R112" s="611" t="e">
        <f t="shared" si="25"/>
        <v>#N/A</v>
      </c>
      <c r="S112" s="484">
        <f t="shared" si="26"/>
        <v>0</v>
      </c>
      <c r="T112" s="374">
        <f t="shared" si="27"/>
      </c>
      <c r="U112" s="374">
        <f t="shared" si="16"/>
      </c>
    </row>
    <row r="113" spans="1:21" ht="12.75">
      <c r="A113" s="832"/>
      <c r="B113" s="842"/>
      <c r="C113" s="827"/>
      <c r="D113" s="827"/>
      <c r="E113" s="588" t="e">
        <f t="shared" si="17"/>
        <v>#N/A</v>
      </c>
      <c r="F113" s="831"/>
      <c r="G113" s="831"/>
      <c r="H113" s="831"/>
      <c r="I113" s="481" t="e">
        <f t="shared" si="18"/>
        <v>#N/A</v>
      </c>
      <c r="J113" s="834"/>
      <c r="K113" s="482">
        <f t="shared" si="28"/>
        <v>0</v>
      </c>
      <c r="L113" s="483" t="e">
        <f t="shared" si="19"/>
        <v>#DIV/0!</v>
      </c>
      <c r="M113" s="483" t="str">
        <f t="shared" si="20"/>
        <v>NA</v>
      </c>
      <c r="N113" s="600" t="b">
        <f t="shared" si="21"/>
        <v>0</v>
      </c>
      <c r="O113" s="612">
        <f t="shared" si="22"/>
        <v>0</v>
      </c>
      <c r="P113" s="613" t="e">
        <f t="shared" si="23"/>
        <v>#N/A</v>
      </c>
      <c r="Q113" s="424" t="e">
        <f t="shared" si="24"/>
        <v>#N/A</v>
      </c>
      <c r="R113" s="611" t="e">
        <f t="shared" si="25"/>
        <v>#N/A</v>
      </c>
      <c r="S113" s="484">
        <f t="shared" si="26"/>
        <v>0</v>
      </c>
      <c r="T113" s="374">
        <f t="shared" si="27"/>
      </c>
      <c r="U113" s="374">
        <f t="shared" si="16"/>
      </c>
    </row>
    <row r="114" spans="1:21" ht="12.75">
      <c r="A114" s="832"/>
      <c r="B114" s="842"/>
      <c r="C114" s="827"/>
      <c r="D114" s="827"/>
      <c r="E114" s="588" t="e">
        <f t="shared" si="17"/>
        <v>#N/A</v>
      </c>
      <c r="F114" s="831"/>
      <c r="G114" s="831"/>
      <c r="H114" s="831"/>
      <c r="I114" s="481" t="e">
        <f t="shared" si="18"/>
        <v>#N/A</v>
      </c>
      <c r="J114" s="834"/>
      <c r="K114" s="482">
        <f t="shared" si="28"/>
        <v>0</v>
      </c>
      <c r="L114" s="483" t="e">
        <f t="shared" si="19"/>
        <v>#DIV/0!</v>
      </c>
      <c r="M114" s="483" t="str">
        <f t="shared" si="20"/>
        <v>NA</v>
      </c>
      <c r="N114" s="600" t="b">
        <f t="shared" si="21"/>
        <v>0</v>
      </c>
      <c r="O114" s="612">
        <f t="shared" si="22"/>
        <v>0</v>
      </c>
      <c r="P114" s="613" t="e">
        <f t="shared" si="23"/>
        <v>#N/A</v>
      </c>
      <c r="Q114" s="424" t="e">
        <f t="shared" si="24"/>
        <v>#N/A</v>
      </c>
      <c r="R114" s="611" t="e">
        <f t="shared" si="25"/>
        <v>#N/A</v>
      </c>
      <c r="S114" s="484">
        <f t="shared" si="26"/>
        <v>0</v>
      </c>
      <c r="T114" s="374">
        <f t="shared" si="27"/>
      </c>
      <c r="U114" s="374">
        <f t="shared" si="16"/>
      </c>
    </row>
    <row r="115" spans="1:21" ht="12.75">
      <c r="A115" s="832"/>
      <c r="B115" s="842"/>
      <c r="C115" s="846"/>
      <c r="D115" s="827"/>
      <c r="E115" s="588" t="e">
        <f t="shared" si="17"/>
        <v>#N/A</v>
      </c>
      <c r="F115" s="831"/>
      <c r="G115" s="831"/>
      <c r="H115" s="831"/>
      <c r="I115" s="481" t="e">
        <f t="shared" si="18"/>
        <v>#N/A</v>
      </c>
      <c r="J115" s="834"/>
      <c r="K115" s="482">
        <f t="shared" si="28"/>
        <v>0</v>
      </c>
      <c r="L115" s="483" t="e">
        <f t="shared" si="19"/>
        <v>#DIV/0!</v>
      </c>
      <c r="M115" s="483" t="str">
        <f t="shared" si="20"/>
        <v>NA</v>
      </c>
      <c r="N115" s="600" t="b">
        <f t="shared" si="21"/>
        <v>0</v>
      </c>
      <c r="O115" s="612">
        <f t="shared" si="22"/>
        <v>0</v>
      </c>
      <c r="P115" s="613" t="e">
        <f t="shared" si="23"/>
        <v>#N/A</v>
      </c>
      <c r="Q115" s="424" t="e">
        <f t="shared" si="24"/>
        <v>#N/A</v>
      </c>
      <c r="R115" s="611" t="e">
        <f t="shared" si="25"/>
        <v>#N/A</v>
      </c>
      <c r="S115" s="484">
        <f t="shared" si="26"/>
        <v>0</v>
      </c>
      <c r="T115" s="374">
        <f t="shared" si="27"/>
      </c>
      <c r="U115" s="374">
        <f t="shared" si="16"/>
      </c>
    </row>
    <row r="116" spans="1:21" ht="12.75">
      <c r="A116" s="832"/>
      <c r="B116" s="842"/>
      <c r="C116" s="827"/>
      <c r="D116" s="827"/>
      <c r="E116" s="588" t="e">
        <f t="shared" si="17"/>
        <v>#N/A</v>
      </c>
      <c r="F116" s="831"/>
      <c r="G116" s="831"/>
      <c r="H116" s="831"/>
      <c r="I116" s="481" t="e">
        <f t="shared" si="18"/>
        <v>#N/A</v>
      </c>
      <c r="J116" s="834"/>
      <c r="K116" s="482">
        <f t="shared" si="28"/>
        <v>0</v>
      </c>
      <c r="L116" s="483" t="e">
        <f t="shared" si="19"/>
        <v>#DIV/0!</v>
      </c>
      <c r="M116" s="483" t="str">
        <f t="shared" si="20"/>
        <v>NA</v>
      </c>
      <c r="N116" s="600" t="b">
        <f t="shared" si="21"/>
        <v>0</v>
      </c>
      <c r="O116" s="612">
        <f t="shared" si="22"/>
        <v>0</v>
      </c>
      <c r="P116" s="613" t="e">
        <f t="shared" si="23"/>
        <v>#N/A</v>
      </c>
      <c r="Q116" s="424" t="e">
        <f t="shared" si="24"/>
        <v>#N/A</v>
      </c>
      <c r="R116" s="611" t="e">
        <f t="shared" si="25"/>
        <v>#N/A</v>
      </c>
      <c r="S116" s="484">
        <f t="shared" si="26"/>
        <v>0</v>
      </c>
      <c r="T116" s="374">
        <f t="shared" si="27"/>
      </c>
      <c r="U116" s="374">
        <f t="shared" si="16"/>
      </c>
    </row>
    <row r="117" spans="1:21" ht="12.75">
      <c r="A117" s="832"/>
      <c r="B117" s="842"/>
      <c r="C117" s="827"/>
      <c r="D117" s="827"/>
      <c r="E117" s="588" t="e">
        <f t="shared" si="17"/>
        <v>#N/A</v>
      </c>
      <c r="F117" s="831"/>
      <c r="G117" s="831"/>
      <c r="H117" s="831"/>
      <c r="I117" s="481" t="e">
        <f t="shared" si="18"/>
        <v>#N/A</v>
      </c>
      <c r="J117" s="834"/>
      <c r="K117" s="482">
        <f t="shared" si="28"/>
        <v>0</v>
      </c>
      <c r="L117" s="483" t="e">
        <f t="shared" si="19"/>
        <v>#DIV/0!</v>
      </c>
      <c r="M117" s="483" t="str">
        <f t="shared" si="20"/>
        <v>NA</v>
      </c>
      <c r="N117" s="600" t="b">
        <f t="shared" si="21"/>
        <v>0</v>
      </c>
      <c r="O117" s="612">
        <f t="shared" si="22"/>
        <v>0</v>
      </c>
      <c r="P117" s="613" t="e">
        <f t="shared" si="23"/>
        <v>#N/A</v>
      </c>
      <c r="Q117" s="424" t="e">
        <f t="shared" si="24"/>
        <v>#N/A</v>
      </c>
      <c r="R117" s="611" t="e">
        <f t="shared" si="25"/>
        <v>#N/A</v>
      </c>
      <c r="S117" s="484">
        <f t="shared" si="26"/>
        <v>0</v>
      </c>
      <c r="T117" s="374">
        <f t="shared" si="27"/>
      </c>
      <c r="U117" s="374">
        <f t="shared" si="16"/>
      </c>
    </row>
    <row r="118" spans="1:21" ht="12.75">
      <c r="A118" s="832"/>
      <c r="B118" s="842"/>
      <c r="C118" s="827"/>
      <c r="D118" s="827"/>
      <c r="E118" s="588" t="e">
        <f t="shared" si="17"/>
        <v>#N/A</v>
      </c>
      <c r="F118" s="831"/>
      <c r="G118" s="831"/>
      <c r="H118" s="831"/>
      <c r="I118" s="481" t="e">
        <f t="shared" si="18"/>
        <v>#N/A</v>
      </c>
      <c r="J118" s="834"/>
      <c r="K118" s="482">
        <f t="shared" si="28"/>
        <v>0</v>
      </c>
      <c r="L118" s="483" t="e">
        <f t="shared" si="19"/>
        <v>#DIV/0!</v>
      </c>
      <c r="M118" s="483" t="str">
        <f t="shared" si="20"/>
        <v>NA</v>
      </c>
      <c r="N118" s="600" t="b">
        <f t="shared" si="21"/>
        <v>0</v>
      </c>
      <c r="O118" s="612">
        <f t="shared" si="22"/>
        <v>0</v>
      </c>
      <c r="P118" s="613" t="e">
        <f t="shared" si="23"/>
        <v>#N/A</v>
      </c>
      <c r="Q118" s="424" t="e">
        <f t="shared" si="24"/>
        <v>#N/A</v>
      </c>
      <c r="R118" s="611" t="e">
        <f t="shared" si="25"/>
        <v>#N/A</v>
      </c>
      <c r="S118" s="484">
        <f t="shared" si="26"/>
        <v>0</v>
      </c>
      <c r="T118" s="374">
        <f t="shared" si="27"/>
      </c>
      <c r="U118" s="374">
        <f t="shared" si="16"/>
      </c>
    </row>
    <row r="119" spans="1:21" ht="12.75">
      <c r="A119" s="832"/>
      <c r="B119" s="842"/>
      <c r="C119" s="827"/>
      <c r="D119" s="827"/>
      <c r="E119" s="588" t="e">
        <f t="shared" si="17"/>
        <v>#N/A</v>
      </c>
      <c r="F119" s="831"/>
      <c r="G119" s="831"/>
      <c r="H119" s="831"/>
      <c r="I119" s="481" t="e">
        <f t="shared" si="18"/>
        <v>#N/A</v>
      </c>
      <c r="J119" s="834"/>
      <c r="K119" s="482">
        <f t="shared" si="28"/>
        <v>0</v>
      </c>
      <c r="L119" s="483" t="e">
        <f t="shared" si="19"/>
        <v>#DIV/0!</v>
      </c>
      <c r="M119" s="483" t="str">
        <f t="shared" si="20"/>
        <v>NA</v>
      </c>
      <c r="N119" s="600" t="b">
        <f t="shared" si="21"/>
        <v>0</v>
      </c>
      <c r="O119" s="612">
        <f t="shared" si="22"/>
        <v>0</v>
      </c>
      <c r="P119" s="613" t="e">
        <f t="shared" si="23"/>
        <v>#N/A</v>
      </c>
      <c r="Q119" s="424" t="e">
        <f t="shared" si="24"/>
        <v>#N/A</v>
      </c>
      <c r="R119" s="611" t="e">
        <f t="shared" si="25"/>
        <v>#N/A</v>
      </c>
      <c r="S119" s="484">
        <f t="shared" si="26"/>
        <v>0</v>
      </c>
      <c r="T119" s="374">
        <f t="shared" si="27"/>
      </c>
      <c r="U119" s="374">
        <f t="shared" si="16"/>
      </c>
    </row>
    <row r="120" spans="1:21" ht="12.75">
      <c r="A120" s="832"/>
      <c r="B120" s="842"/>
      <c r="C120" s="827"/>
      <c r="D120" s="827"/>
      <c r="E120" s="588" t="e">
        <f t="shared" si="17"/>
        <v>#N/A</v>
      </c>
      <c r="F120" s="831"/>
      <c r="G120" s="831"/>
      <c r="H120" s="831"/>
      <c r="I120" s="481" t="e">
        <f t="shared" si="18"/>
        <v>#N/A</v>
      </c>
      <c r="J120" s="834"/>
      <c r="K120" s="482">
        <f t="shared" si="28"/>
        <v>0</v>
      </c>
      <c r="L120" s="483" t="e">
        <f t="shared" si="19"/>
        <v>#DIV/0!</v>
      </c>
      <c r="M120" s="483" t="str">
        <f t="shared" si="20"/>
        <v>NA</v>
      </c>
      <c r="N120" s="600" t="b">
        <f t="shared" si="21"/>
        <v>0</v>
      </c>
      <c r="O120" s="612">
        <f t="shared" si="22"/>
        <v>0</v>
      </c>
      <c r="P120" s="613" t="e">
        <f t="shared" si="23"/>
        <v>#N/A</v>
      </c>
      <c r="Q120" s="424" t="e">
        <f t="shared" si="24"/>
        <v>#N/A</v>
      </c>
      <c r="R120" s="611" t="e">
        <f t="shared" si="25"/>
        <v>#N/A</v>
      </c>
      <c r="S120" s="484">
        <f t="shared" si="26"/>
        <v>0</v>
      </c>
      <c r="T120" s="374">
        <f t="shared" si="27"/>
      </c>
      <c r="U120" s="374">
        <f t="shared" si="16"/>
      </c>
    </row>
    <row r="121" spans="1:21" ht="12.75">
      <c r="A121" s="832"/>
      <c r="B121" s="842"/>
      <c r="C121" s="846"/>
      <c r="D121" s="827"/>
      <c r="E121" s="588" t="e">
        <f t="shared" si="17"/>
        <v>#N/A</v>
      </c>
      <c r="F121" s="831"/>
      <c r="G121" s="831"/>
      <c r="H121" s="831"/>
      <c r="I121" s="481" t="e">
        <f t="shared" si="18"/>
        <v>#N/A</v>
      </c>
      <c r="J121" s="834"/>
      <c r="K121" s="482">
        <f t="shared" si="28"/>
        <v>0</v>
      </c>
      <c r="L121" s="483" t="e">
        <f t="shared" si="19"/>
        <v>#DIV/0!</v>
      </c>
      <c r="M121" s="483" t="str">
        <f t="shared" si="20"/>
        <v>NA</v>
      </c>
      <c r="N121" s="600" t="b">
        <f t="shared" si="21"/>
        <v>0</v>
      </c>
      <c r="O121" s="612">
        <f t="shared" si="22"/>
        <v>0</v>
      </c>
      <c r="P121" s="613" t="e">
        <f t="shared" si="23"/>
        <v>#N/A</v>
      </c>
      <c r="Q121" s="424" t="e">
        <f t="shared" si="24"/>
        <v>#N/A</v>
      </c>
      <c r="R121" s="611" t="e">
        <f t="shared" si="25"/>
        <v>#N/A</v>
      </c>
      <c r="S121" s="484">
        <f t="shared" si="26"/>
        <v>0</v>
      </c>
      <c r="T121" s="374">
        <f t="shared" si="27"/>
      </c>
      <c r="U121" s="374">
        <f t="shared" si="16"/>
      </c>
    </row>
    <row r="122" spans="1:21" ht="12.75">
      <c r="A122" s="832"/>
      <c r="B122" s="842"/>
      <c r="C122" s="827"/>
      <c r="D122" s="827"/>
      <c r="E122" s="588" t="e">
        <f t="shared" si="17"/>
        <v>#N/A</v>
      </c>
      <c r="F122" s="831"/>
      <c r="G122" s="831"/>
      <c r="H122" s="831"/>
      <c r="I122" s="481" t="e">
        <f t="shared" si="18"/>
        <v>#N/A</v>
      </c>
      <c r="J122" s="834"/>
      <c r="K122" s="482">
        <f t="shared" si="28"/>
        <v>0</v>
      </c>
      <c r="L122" s="483" t="e">
        <f t="shared" si="19"/>
        <v>#DIV/0!</v>
      </c>
      <c r="M122" s="483" t="str">
        <f t="shared" si="20"/>
        <v>NA</v>
      </c>
      <c r="N122" s="600" t="b">
        <f t="shared" si="21"/>
        <v>0</v>
      </c>
      <c r="O122" s="612">
        <f t="shared" si="22"/>
        <v>0</v>
      </c>
      <c r="P122" s="613" t="e">
        <f t="shared" si="23"/>
        <v>#N/A</v>
      </c>
      <c r="Q122" s="424" t="e">
        <f t="shared" si="24"/>
        <v>#N/A</v>
      </c>
      <c r="R122" s="611" t="e">
        <f t="shared" si="25"/>
        <v>#N/A</v>
      </c>
      <c r="S122" s="484">
        <f t="shared" si="26"/>
        <v>0</v>
      </c>
      <c r="T122" s="374">
        <f t="shared" si="27"/>
      </c>
      <c r="U122" s="374">
        <f t="shared" si="16"/>
      </c>
    </row>
    <row r="123" spans="1:21" ht="12.75">
      <c r="A123" s="832"/>
      <c r="B123" s="842"/>
      <c r="C123" s="827"/>
      <c r="D123" s="827"/>
      <c r="E123" s="588" t="e">
        <f t="shared" si="17"/>
        <v>#N/A</v>
      </c>
      <c r="F123" s="831"/>
      <c r="G123" s="831"/>
      <c r="H123" s="831"/>
      <c r="I123" s="481" t="e">
        <f t="shared" si="18"/>
        <v>#N/A</v>
      </c>
      <c r="J123" s="834"/>
      <c r="K123" s="482">
        <f t="shared" si="28"/>
        <v>0</v>
      </c>
      <c r="L123" s="483" t="e">
        <f t="shared" si="19"/>
        <v>#DIV/0!</v>
      </c>
      <c r="M123" s="483" t="str">
        <f t="shared" si="20"/>
        <v>NA</v>
      </c>
      <c r="N123" s="600" t="b">
        <f t="shared" si="21"/>
        <v>0</v>
      </c>
      <c r="O123" s="612">
        <f t="shared" si="22"/>
        <v>0</v>
      </c>
      <c r="P123" s="613" t="e">
        <f t="shared" si="23"/>
        <v>#N/A</v>
      </c>
      <c r="Q123" s="424" t="e">
        <f t="shared" si="24"/>
        <v>#N/A</v>
      </c>
      <c r="R123" s="611" t="e">
        <f t="shared" si="25"/>
        <v>#N/A</v>
      </c>
      <c r="S123" s="484">
        <f t="shared" si="26"/>
        <v>0</v>
      </c>
      <c r="T123" s="374">
        <f t="shared" si="27"/>
      </c>
      <c r="U123" s="374">
        <f t="shared" si="16"/>
      </c>
    </row>
    <row r="124" spans="1:21" ht="12.75">
      <c r="A124" s="832"/>
      <c r="B124" s="842"/>
      <c r="C124" s="827"/>
      <c r="D124" s="827"/>
      <c r="E124" s="588" t="e">
        <f t="shared" si="17"/>
        <v>#N/A</v>
      </c>
      <c r="F124" s="831"/>
      <c r="G124" s="831"/>
      <c r="H124" s="831"/>
      <c r="I124" s="481" t="e">
        <f t="shared" si="18"/>
        <v>#N/A</v>
      </c>
      <c r="J124" s="834"/>
      <c r="K124" s="482">
        <f t="shared" si="28"/>
        <v>0</v>
      </c>
      <c r="L124" s="483" t="e">
        <f t="shared" si="19"/>
        <v>#DIV/0!</v>
      </c>
      <c r="M124" s="483" t="str">
        <f t="shared" si="20"/>
        <v>NA</v>
      </c>
      <c r="N124" s="600" t="b">
        <f t="shared" si="21"/>
        <v>0</v>
      </c>
      <c r="O124" s="612">
        <f t="shared" si="22"/>
        <v>0</v>
      </c>
      <c r="P124" s="613" t="e">
        <f t="shared" si="23"/>
        <v>#N/A</v>
      </c>
      <c r="Q124" s="424" t="e">
        <f t="shared" si="24"/>
        <v>#N/A</v>
      </c>
      <c r="R124" s="611" t="e">
        <f t="shared" si="25"/>
        <v>#N/A</v>
      </c>
      <c r="S124" s="484">
        <f t="shared" si="26"/>
        <v>0</v>
      </c>
      <c r="T124" s="374">
        <f t="shared" si="27"/>
      </c>
      <c r="U124" s="374">
        <f t="shared" si="16"/>
      </c>
    </row>
    <row r="125" spans="1:21" ht="12.75">
      <c r="A125" s="832"/>
      <c r="B125" s="842"/>
      <c r="C125" s="827"/>
      <c r="D125" s="827"/>
      <c r="E125" s="588" t="e">
        <f t="shared" si="17"/>
        <v>#N/A</v>
      </c>
      <c r="F125" s="831"/>
      <c r="G125" s="831"/>
      <c r="H125" s="831"/>
      <c r="I125" s="481" t="e">
        <f t="shared" si="18"/>
        <v>#N/A</v>
      </c>
      <c r="J125" s="834"/>
      <c r="K125" s="482">
        <f t="shared" si="28"/>
        <v>0</v>
      </c>
      <c r="L125" s="483" t="e">
        <f t="shared" si="19"/>
        <v>#DIV/0!</v>
      </c>
      <c r="M125" s="483" t="str">
        <f t="shared" si="20"/>
        <v>NA</v>
      </c>
      <c r="N125" s="600" t="b">
        <f t="shared" si="21"/>
        <v>0</v>
      </c>
      <c r="O125" s="612">
        <f t="shared" si="22"/>
        <v>0</v>
      </c>
      <c r="P125" s="613" t="e">
        <f t="shared" si="23"/>
        <v>#N/A</v>
      </c>
      <c r="Q125" s="424" t="e">
        <f t="shared" si="24"/>
        <v>#N/A</v>
      </c>
      <c r="R125" s="611" t="e">
        <f t="shared" si="25"/>
        <v>#N/A</v>
      </c>
      <c r="S125" s="484">
        <f t="shared" si="26"/>
        <v>0</v>
      </c>
      <c r="T125" s="374">
        <f t="shared" si="27"/>
      </c>
      <c r="U125" s="374">
        <f t="shared" si="16"/>
      </c>
    </row>
    <row r="126" spans="1:21" ht="12.75">
      <c r="A126" s="847"/>
      <c r="B126" s="842"/>
      <c r="C126" s="827"/>
      <c r="D126" s="827"/>
      <c r="E126" s="588" t="e">
        <f t="shared" si="17"/>
        <v>#N/A</v>
      </c>
      <c r="F126" s="831"/>
      <c r="G126" s="831"/>
      <c r="H126" s="831"/>
      <c r="I126" s="481" t="e">
        <f t="shared" si="18"/>
        <v>#N/A</v>
      </c>
      <c r="J126" s="834"/>
      <c r="K126" s="482">
        <f t="shared" si="28"/>
        <v>0</v>
      </c>
      <c r="L126" s="483" t="e">
        <f t="shared" si="19"/>
        <v>#DIV/0!</v>
      </c>
      <c r="M126" s="483" t="str">
        <f t="shared" si="20"/>
        <v>NA</v>
      </c>
      <c r="N126" s="600" t="b">
        <f t="shared" si="21"/>
        <v>0</v>
      </c>
      <c r="O126" s="612">
        <f t="shared" si="22"/>
        <v>0</v>
      </c>
      <c r="P126" s="613" t="e">
        <f t="shared" si="23"/>
        <v>#N/A</v>
      </c>
      <c r="Q126" s="424" t="e">
        <f t="shared" si="24"/>
        <v>#N/A</v>
      </c>
      <c r="R126" s="611" t="e">
        <f t="shared" si="25"/>
        <v>#N/A</v>
      </c>
      <c r="S126" s="484">
        <f t="shared" si="26"/>
        <v>0</v>
      </c>
      <c r="T126" s="374">
        <f t="shared" si="27"/>
      </c>
      <c r="U126" s="374">
        <f t="shared" si="16"/>
      </c>
    </row>
    <row r="127" spans="1:21" ht="12.75">
      <c r="A127" s="847"/>
      <c r="B127" s="842"/>
      <c r="C127" s="827"/>
      <c r="D127" s="827"/>
      <c r="E127" s="588" t="e">
        <f t="shared" si="17"/>
        <v>#N/A</v>
      </c>
      <c r="F127" s="831"/>
      <c r="G127" s="831"/>
      <c r="H127" s="831"/>
      <c r="I127" s="481" t="e">
        <f t="shared" si="18"/>
        <v>#N/A</v>
      </c>
      <c r="J127" s="834"/>
      <c r="K127" s="482">
        <f t="shared" si="28"/>
        <v>0</v>
      </c>
      <c r="L127" s="483" t="e">
        <f t="shared" si="19"/>
        <v>#DIV/0!</v>
      </c>
      <c r="M127" s="483" t="str">
        <f t="shared" si="20"/>
        <v>NA</v>
      </c>
      <c r="N127" s="600" t="b">
        <f t="shared" si="21"/>
        <v>0</v>
      </c>
      <c r="O127" s="612">
        <f t="shared" si="22"/>
        <v>0</v>
      </c>
      <c r="P127" s="613" t="e">
        <f t="shared" si="23"/>
        <v>#N/A</v>
      </c>
      <c r="Q127" s="424" t="e">
        <f t="shared" si="24"/>
        <v>#N/A</v>
      </c>
      <c r="R127" s="611" t="e">
        <f t="shared" si="25"/>
        <v>#N/A</v>
      </c>
      <c r="S127" s="484">
        <f t="shared" si="26"/>
        <v>0</v>
      </c>
      <c r="T127" s="374">
        <f t="shared" si="27"/>
      </c>
      <c r="U127" s="374">
        <f t="shared" si="16"/>
      </c>
    </row>
    <row r="128" spans="1:21" ht="12.75">
      <c r="A128" s="847"/>
      <c r="B128" s="842"/>
      <c r="C128" s="846"/>
      <c r="D128" s="827"/>
      <c r="E128" s="588" t="e">
        <f t="shared" si="17"/>
        <v>#N/A</v>
      </c>
      <c r="F128" s="831"/>
      <c r="G128" s="831"/>
      <c r="H128" s="831"/>
      <c r="I128" s="481" t="e">
        <f t="shared" si="18"/>
        <v>#N/A</v>
      </c>
      <c r="J128" s="834"/>
      <c r="K128" s="482">
        <f t="shared" si="28"/>
        <v>0</v>
      </c>
      <c r="L128" s="483" t="e">
        <f t="shared" si="19"/>
        <v>#DIV/0!</v>
      </c>
      <c r="M128" s="483" t="str">
        <f t="shared" si="20"/>
        <v>NA</v>
      </c>
      <c r="N128" s="600" t="b">
        <f t="shared" si="21"/>
        <v>0</v>
      </c>
      <c r="O128" s="612">
        <f t="shared" si="22"/>
        <v>0</v>
      </c>
      <c r="P128" s="613" t="e">
        <f t="shared" si="23"/>
        <v>#N/A</v>
      </c>
      <c r="Q128" s="424" t="e">
        <f t="shared" si="24"/>
        <v>#N/A</v>
      </c>
      <c r="R128" s="611" t="e">
        <f t="shared" si="25"/>
        <v>#N/A</v>
      </c>
      <c r="S128" s="484">
        <f t="shared" si="26"/>
        <v>0</v>
      </c>
      <c r="T128" s="374">
        <f t="shared" si="27"/>
      </c>
      <c r="U128" s="374">
        <f t="shared" si="16"/>
      </c>
    </row>
    <row r="129" spans="1:21" ht="12.75">
      <c r="A129" s="845"/>
      <c r="B129" s="842"/>
      <c r="C129" s="827"/>
      <c r="D129" s="827"/>
      <c r="E129" s="588" t="e">
        <f t="shared" si="17"/>
        <v>#N/A</v>
      </c>
      <c r="F129" s="831"/>
      <c r="G129" s="831"/>
      <c r="H129" s="831"/>
      <c r="I129" s="481" t="e">
        <f t="shared" si="18"/>
        <v>#N/A</v>
      </c>
      <c r="J129" s="834"/>
      <c r="K129" s="482">
        <f t="shared" si="28"/>
        <v>0</v>
      </c>
      <c r="L129" s="483" t="e">
        <f t="shared" si="19"/>
        <v>#DIV/0!</v>
      </c>
      <c r="M129" s="483" t="str">
        <f t="shared" si="20"/>
        <v>NA</v>
      </c>
      <c r="N129" s="600" t="b">
        <f t="shared" si="21"/>
        <v>0</v>
      </c>
      <c r="O129" s="612">
        <f t="shared" si="22"/>
        <v>0</v>
      </c>
      <c r="P129" s="613" t="e">
        <f t="shared" si="23"/>
        <v>#N/A</v>
      </c>
      <c r="Q129" s="424" t="e">
        <f t="shared" si="24"/>
        <v>#N/A</v>
      </c>
      <c r="R129" s="611" t="e">
        <f t="shared" si="25"/>
        <v>#N/A</v>
      </c>
      <c r="S129" s="484">
        <f t="shared" si="26"/>
        <v>0</v>
      </c>
      <c r="T129" s="374">
        <f t="shared" si="27"/>
      </c>
      <c r="U129" s="374">
        <f t="shared" si="16"/>
      </c>
    </row>
    <row r="130" spans="1:21" ht="12.75">
      <c r="A130" s="847"/>
      <c r="B130" s="842"/>
      <c r="C130" s="827"/>
      <c r="D130" s="827"/>
      <c r="E130" s="588" t="e">
        <f t="shared" si="17"/>
        <v>#N/A</v>
      </c>
      <c r="F130" s="831"/>
      <c r="G130" s="831"/>
      <c r="H130" s="831"/>
      <c r="I130" s="481" t="e">
        <f t="shared" si="18"/>
        <v>#N/A</v>
      </c>
      <c r="J130" s="834"/>
      <c r="K130" s="482">
        <f t="shared" si="28"/>
        <v>0</v>
      </c>
      <c r="L130" s="483" t="e">
        <f t="shared" si="19"/>
        <v>#DIV/0!</v>
      </c>
      <c r="M130" s="483" t="str">
        <f t="shared" si="20"/>
        <v>NA</v>
      </c>
      <c r="N130" s="600" t="b">
        <f t="shared" si="21"/>
        <v>0</v>
      </c>
      <c r="O130" s="612">
        <f t="shared" si="22"/>
        <v>0</v>
      </c>
      <c r="P130" s="613" t="e">
        <f t="shared" si="23"/>
        <v>#N/A</v>
      </c>
      <c r="Q130" s="424" t="e">
        <f t="shared" si="24"/>
        <v>#N/A</v>
      </c>
      <c r="R130" s="611" t="e">
        <f t="shared" si="25"/>
        <v>#N/A</v>
      </c>
      <c r="S130" s="484">
        <f t="shared" si="26"/>
        <v>0</v>
      </c>
      <c r="T130" s="374">
        <f t="shared" si="27"/>
      </c>
      <c r="U130" s="374">
        <f t="shared" si="16"/>
      </c>
    </row>
    <row r="131" spans="1:21" ht="12.75">
      <c r="A131" s="847"/>
      <c r="B131" s="842"/>
      <c r="C131" s="846"/>
      <c r="D131" s="827"/>
      <c r="E131" s="588" t="e">
        <f t="shared" si="17"/>
        <v>#N/A</v>
      </c>
      <c r="F131" s="831"/>
      <c r="G131" s="831"/>
      <c r="H131" s="831"/>
      <c r="I131" s="481" t="e">
        <f t="shared" si="18"/>
        <v>#N/A</v>
      </c>
      <c r="J131" s="834"/>
      <c r="K131" s="482">
        <f t="shared" si="28"/>
        <v>0</v>
      </c>
      <c r="L131" s="483" t="e">
        <f t="shared" si="19"/>
        <v>#DIV/0!</v>
      </c>
      <c r="M131" s="483" t="str">
        <f t="shared" si="20"/>
        <v>NA</v>
      </c>
      <c r="N131" s="600" t="b">
        <f t="shared" si="21"/>
        <v>0</v>
      </c>
      <c r="O131" s="612">
        <f t="shared" si="22"/>
        <v>0</v>
      </c>
      <c r="P131" s="613" t="e">
        <f t="shared" si="23"/>
        <v>#N/A</v>
      </c>
      <c r="Q131" s="424" t="e">
        <f t="shared" si="24"/>
        <v>#N/A</v>
      </c>
      <c r="R131" s="611" t="e">
        <f t="shared" si="25"/>
        <v>#N/A</v>
      </c>
      <c r="S131" s="484">
        <f t="shared" si="26"/>
        <v>0</v>
      </c>
      <c r="T131" s="374">
        <f t="shared" si="27"/>
      </c>
      <c r="U131" s="374">
        <f t="shared" si="16"/>
      </c>
    </row>
    <row r="132" spans="1:21" ht="12.75">
      <c r="A132" s="847"/>
      <c r="B132" s="842"/>
      <c r="C132" s="827"/>
      <c r="D132" s="827"/>
      <c r="E132" s="588" t="e">
        <f t="shared" si="17"/>
        <v>#N/A</v>
      </c>
      <c r="F132" s="831"/>
      <c r="G132" s="831"/>
      <c r="H132" s="831"/>
      <c r="I132" s="481" t="e">
        <f t="shared" si="18"/>
        <v>#N/A</v>
      </c>
      <c r="J132" s="834"/>
      <c r="K132" s="482">
        <f t="shared" si="28"/>
        <v>0</v>
      </c>
      <c r="L132" s="483" t="e">
        <f t="shared" si="19"/>
        <v>#DIV/0!</v>
      </c>
      <c r="M132" s="483" t="str">
        <f t="shared" si="20"/>
        <v>NA</v>
      </c>
      <c r="N132" s="600" t="b">
        <f t="shared" si="21"/>
        <v>0</v>
      </c>
      <c r="O132" s="612">
        <f t="shared" si="22"/>
        <v>0</v>
      </c>
      <c r="P132" s="613" t="e">
        <f t="shared" si="23"/>
        <v>#N/A</v>
      </c>
      <c r="Q132" s="424" t="e">
        <f t="shared" si="24"/>
        <v>#N/A</v>
      </c>
      <c r="R132" s="611" t="e">
        <f t="shared" si="25"/>
        <v>#N/A</v>
      </c>
      <c r="S132" s="484">
        <f t="shared" si="26"/>
        <v>0</v>
      </c>
      <c r="T132" s="374">
        <f t="shared" si="27"/>
      </c>
      <c r="U132" s="374">
        <f t="shared" si="16"/>
      </c>
    </row>
    <row r="133" spans="1:21" ht="12.75">
      <c r="A133" s="847"/>
      <c r="B133" s="842"/>
      <c r="C133" s="827"/>
      <c r="D133" s="827"/>
      <c r="E133" s="588" t="e">
        <f t="shared" si="17"/>
        <v>#N/A</v>
      </c>
      <c r="F133" s="831"/>
      <c r="G133" s="831"/>
      <c r="H133" s="831"/>
      <c r="I133" s="481" t="e">
        <f t="shared" si="18"/>
        <v>#N/A</v>
      </c>
      <c r="J133" s="834"/>
      <c r="K133" s="482">
        <f t="shared" si="28"/>
        <v>0</v>
      </c>
      <c r="L133" s="483" t="e">
        <f t="shared" si="19"/>
        <v>#DIV/0!</v>
      </c>
      <c r="M133" s="483" t="str">
        <f t="shared" si="20"/>
        <v>NA</v>
      </c>
      <c r="N133" s="600" t="b">
        <f t="shared" si="21"/>
        <v>0</v>
      </c>
      <c r="O133" s="612">
        <f t="shared" si="22"/>
        <v>0</v>
      </c>
      <c r="P133" s="613" t="e">
        <f t="shared" si="23"/>
        <v>#N/A</v>
      </c>
      <c r="Q133" s="424" t="e">
        <f t="shared" si="24"/>
        <v>#N/A</v>
      </c>
      <c r="R133" s="611" t="e">
        <f t="shared" si="25"/>
        <v>#N/A</v>
      </c>
      <c r="S133" s="484">
        <f t="shared" si="26"/>
        <v>0</v>
      </c>
      <c r="T133" s="374">
        <f t="shared" si="27"/>
      </c>
      <c r="U133" s="374">
        <f t="shared" si="16"/>
      </c>
    </row>
    <row r="134" spans="1:21" ht="12.75">
      <c r="A134" s="847"/>
      <c r="B134" s="842"/>
      <c r="C134" s="827"/>
      <c r="D134" s="827"/>
      <c r="E134" s="588" t="e">
        <f t="shared" si="17"/>
        <v>#N/A</v>
      </c>
      <c r="F134" s="831"/>
      <c r="G134" s="831"/>
      <c r="H134" s="831"/>
      <c r="I134" s="481" t="e">
        <f t="shared" si="18"/>
        <v>#N/A</v>
      </c>
      <c r="J134" s="834"/>
      <c r="K134" s="482">
        <f t="shared" si="28"/>
        <v>0</v>
      </c>
      <c r="L134" s="483" t="e">
        <f t="shared" si="19"/>
        <v>#DIV/0!</v>
      </c>
      <c r="M134" s="483" t="str">
        <f t="shared" si="20"/>
        <v>NA</v>
      </c>
      <c r="N134" s="600" t="b">
        <f t="shared" si="21"/>
        <v>0</v>
      </c>
      <c r="O134" s="612">
        <f t="shared" si="22"/>
        <v>0</v>
      </c>
      <c r="P134" s="613" t="e">
        <f t="shared" si="23"/>
        <v>#N/A</v>
      </c>
      <c r="Q134" s="424" t="e">
        <f t="shared" si="24"/>
        <v>#N/A</v>
      </c>
      <c r="R134" s="611" t="e">
        <f t="shared" si="25"/>
        <v>#N/A</v>
      </c>
      <c r="S134" s="484">
        <f t="shared" si="26"/>
        <v>0</v>
      </c>
      <c r="T134" s="374">
        <f t="shared" si="27"/>
      </c>
      <c r="U134" s="374">
        <f t="shared" si="16"/>
      </c>
    </row>
    <row r="135" spans="1:21" ht="12.75">
      <c r="A135" s="847"/>
      <c r="B135" s="842"/>
      <c r="C135" s="827"/>
      <c r="D135" s="827"/>
      <c r="E135" s="588" t="e">
        <f t="shared" si="17"/>
        <v>#N/A</v>
      </c>
      <c r="F135" s="831"/>
      <c r="G135" s="831"/>
      <c r="H135" s="831"/>
      <c r="I135" s="481" t="e">
        <f t="shared" si="18"/>
        <v>#N/A</v>
      </c>
      <c r="J135" s="834"/>
      <c r="K135" s="482">
        <f t="shared" si="28"/>
        <v>0</v>
      </c>
      <c r="L135" s="483" t="e">
        <f t="shared" si="19"/>
        <v>#DIV/0!</v>
      </c>
      <c r="M135" s="483" t="str">
        <f t="shared" si="20"/>
        <v>NA</v>
      </c>
      <c r="N135" s="600" t="b">
        <f t="shared" si="21"/>
        <v>0</v>
      </c>
      <c r="O135" s="612">
        <f t="shared" si="22"/>
        <v>0</v>
      </c>
      <c r="P135" s="613" t="e">
        <f t="shared" si="23"/>
        <v>#N/A</v>
      </c>
      <c r="Q135" s="424" t="e">
        <f t="shared" si="24"/>
        <v>#N/A</v>
      </c>
      <c r="R135" s="611" t="e">
        <f t="shared" si="25"/>
        <v>#N/A</v>
      </c>
      <c r="S135" s="484">
        <f t="shared" si="26"/>
        <v>0</v>
      </c>
      <c r="T135" s="374">
        <f t="shared" si="27"/>
      </c>
      <c r="U135" s="374">
        <f t="shared" si="16"/>
      </c>
    </row>
    <row r="136" spans="1:21" ht="12.75">
      <c r="A136" s="845"/>
      <c r="B136" s="842"/>
      <c r="C136" s="827"/>
      <c r="D136" s="827"/>
      <c r="E136" s="588" t="e">
        <f t="shared" si="17"/>
        <v>#N/A</v>
      </c>
      <c r="F136" s="831"/>
      <c r="G136" s="831"/>
      <c r="H136" s="831"/>
      <c r="I136" s="481" t="e">
        <f t="shared" si="18"/>
        <v>#N/A</v>
      </c>
      <c r="J136" s="834"/>
      <c r="K136" s="482">
        <f t="shared" si="28"/>
        <v>0</v>
      </c>
      <c r="L136" s="483" t="e">
        <f t="shared" si="19"/>
        <v>#DIV/0!</v>
      </c>
      <c r="M136" s="483" t="str">
        <f t="shared" si="20"/>
        <v>NA</v>
      </c>
      <c r="N136" s="600" t="b">
        <f t="shared" si="21"/>
        <v>0</v>
      </c>
      <c r="O136" s="612">
        <f t="shared" si="22"/>
        <v>0</v>
      </c>
      <c r="P136" s="613" t="e">
        <f t="shared" si="23"/>
        <v>#N/A</v>
      </c>
      <c r="Q136" s="424" t="e">
        <f t="shared" si="24"/>
        <v>#N/A</v>
      </c>
      <c r="R136" s="611" t="e">
        <f t="shared" si="25"/>
        <v>#N/A</v>
      </c>
      <c r="S136" s="484">
        <f t="shared" si="26"/>
        <v>0</v>
      </c>
      <c r="T136" s="374">
        <f t="shared" si="27"/>
      </c>
      <c r="U136" s="374">
        <f t="shared" si="16"/>
      </c>
    </row>
    <row r="137" spans="1:21" ht="12.75">
      <c r="A137" s="845"/>
      <c r="B137" s="842"/>
      <c r="C137" s="827"/>
      <c r="D137" s="827"/>
      <c r="E137" s="588" t="e">
        <f t="shared" si="17"/>
        <v>#N/A</v>
      </c>
      <c r="F137" s="831"/>
      <c r="G137" s="831"/>
      <c r="H137" s="831"/>
      <c r="I137" s="481" t="e">
        <f t="shared" si="18"/>
        <v>#N/A</v>
      </c>
      <c r="J137" s="834"/>
      <c r="K137" s="482">
        <f t="shared" si="28"/>
        <v>0</v>
      </c>
      <c r="L137" s="483" t="e">
        <f t="shared" si="19"/>
        <v>#DIV/0!</v>
      </c>
      <c r="M137" s="483" t="str">
        <f t="shared" si="20"/>
        <v>NA</v>
      </c>
      <c r="N137" s="600" t="b">
        <f t="shared" si="21"/>
        <v>0</v>
      </c>
      <c r="O137" s="612">
        <f t="shared" si="22"/>
        <v>0</v>
      </c>
      <c r="P137" s="613" t="e">
        <f t="shared" si="23"/>
        <v>#N/A</v>
      </c>
      <c r="Q137" s="424" t="e">
        <f t="shared" si="24"/>
        <v>#N/A</v>
      </c>
      <c r="R137" s="611" t="e">
        <f t="shared" si="25"/>
        <v>#N/A</v>
      </c>
      <c r="S137" s="484">
        <f t="shared" si="26"/>
        <v>0</v>
      </c>
      <c r="T137" s="374">
        <f t="shared" si="27"/>
      </c>
      <c r="U137" s="374">
        <f t="shared" si="16"/>
      </c>
    </row>
    <row r="138" spans="1:21" ht="12.75">
      <c r="A138" s="832"/>
      <c r="B138" s="842"/>
      <c r="C138" s="827"/>
      <c r="D138" s="827"/>
      <c r="E138" s="588" t="e">
        <f t="shared" si="17"/>
        <v>#N/A</v>
      </c>
      <c r="F138" s="831"/>
      <c r="G138" s="831"/>
      <c r="H138" s="831"/>
      <c r="I138" s="481" t="e">
        <f t="shared" si="18"/>
        <v>#N/A</v>
      </c>
      <c r="J138" s="834"/>
      <c r="K138" s="482">
        <f t="shared" si="28"/>
        <v>0</v>
      </c>
      <c r="L138" s="483" t="e">
        <f t="shared" si="19"/>
        <v>#DIV/0!</v>
      </c>
      <c r="M138" s="483" t="str">
        <f t="shared" si="20"/>
        <v>NA</v>
      </c>
      <c r="N138" s="600" t="b">
        <f t="shared" si="21"/>
        <v>0</v>
      </c>
      <c r="O138" s="612">
        <f t="shared" si="22"/>
        <v>0</v>
      </c>
      <c r="P138" s="613" t="e">
        <f t="shared" si="23"/>
        <v>#N/A</v>
      </c>
      <c r="Q138" s="424" t="e">
        <f t="shared" si="24"/>
        <v>#N/A</v>
      </c>
      <c r="R138" s="611" t="e">
        <f t="shared" si="25"/>
        <v>#N/A</v>
      </c>
      <c r="S138" s="484">
        <f t="shared" si="26"/>
        <v>0</v>
      </c>
      <c r="T138" s="374">
        <f t="shared" si="27"/>
      </c>
      <c r="U138" s="374">
        <f t="shared" si="16"/>
      </c>
    </row>
    <row r="139" spans="1:21" ht="12.75">
      <c r="A139" s="832"/>
      <c r="B139" s="842"/>
      <c r="C139" s="846"/>
      <c r="D139" s="827"/>
      <c r="E139" s="588" t="e">
        <f t="shared" si="17"/>
        <v>#N/A</v>
      </c>
      <c r="F139" s="831"/>
      <c r="G139" s="831"/>
      <c r="H139" s="831"/>
      <c r="I139" s="481" t="e">
        <f t="shared" si="18"/>
        <v>#N/A</v>
      </c>
      <c r="J139" s="834"/>
      <c r="K139" s="482">
        <f t="shared" si="28"/>
        <v>0</v>
      </c>
      <c r="L139" s="483" t="e">
        <f t="shared" si="19"/>
        <v>#DIV/0!</v>
      </c>
      <c r="M139" s="483" t="str">
        <f t="shared" si="20"/>
        <v>NA</v>
      </c>
      <c r="N139" s="600" t="b">
        <f t="shared" si="21"/>
        <v>0</v>
      </c>
      <c r="O139" s="612">
        <f t="shared" si="22"/>
        <v>0</v>
      </c>
      <c r="P139" s="613" t="e">
        <f t="shared" si="23"/>
        <v>#N/A</v>
      </c>
      <c r="Q139" s="424" t="e">
        <f t="shared" si="24"/>
        <v>#N/A</v>
      </c>
      <c r="R139" s="611" t="e">
        <f t="shared" si="25"/>
        <v>#N/A</v>
      </c>
      <c r="S139" s="484">
        <f t="shared" si="26"/>
        <v>0</v>
      </c>
      <c r="T139" s="374">
        <f t="shared" si="27"/>
      </c>
      <c r="U139" s="374">
        <f t="shared" si="16"/>
      </c>
    </row>
    <row r="140" spans="1:21" ht="12.75">
      <c r="A140" s="832"/>
      <c r="B140" s="842"/>
      <c r="C140" s="827"/>
      <c r="D140" s="827"/>
      <c r="E140" s="588" t="e">
        <f t="shared" si="17"/>
        <v>#N/A</v>
      </c>
      <c r="F140" s="831"/>
      <c r="G140" s="831"/>
      <c r="H140" s="831"/>
      <c r="I140" s="481" t="e">
        <f t="shared" si="18"/>
        <v>#N/A</v>
      </c>
      <c r="J140" s="834"/>
      <c r="K140" s="482">
        <f t="shared" si="28"/>
        <v>0</v>
      </c>
      <c r="L140" s="483" t="e">
        <f t="shared" si="19"/>
        <v>#DIV/0!</v>
      </c>
      <c r="M140" s="483" t="str">
        <f t="shared" si="20"/>
        <v>NA</v>
      </c>
      <c r="N140" s="600" t="b">
        <f t="shared" si="21"/>
        <v>0</v>
      </c>
      <c r="O140" s="612">
        <f t="shared" si="22"/>
        <v>0</v>
      </c>
      <c r="P140" s="613" t="e">
        <f t="shared" si="23"/>
        <v>#N/A</v>
      </c>
      <c r="Q140" s="424" t="e">
        <f t="shared" si="24"/>
        <v>#N/A</v>
      </c>
      <c r="R140" s="611" t="e">
        <f t="shared" si="25"/>
        <v>#N/A</v>
      </c>
      <c r="S140" s="484">
        <f t="shared" si="26"/>
        <v>0</v>
      </c>
      <c r="T140" s="374">
        <f t="shared" si="27"/>
      </c>
      <c r="U140" s="374">
        <f t="shared" si="16"/>
      </c>
    </row>
    <row r="141" spans="1:21" ht="12.75">
      <c r="A141" s="832"/>
      <c r="B141" s="842"/>
      <c r="C141" s="827"/>
      <c r="D141" s="827"/>
      <c r="E141" s="588" t="e">
        <f t="shared" si="17"/>
        <v>#N/A</v>
      </c>
      <c r="F141" s="831"/>
      <c r="G141" s="831"/>
      <c r="H141" s="831"/>
      <c r="I141" s="481" t="e">
        <f t="shared" si="18"/>
        <v>#N/A</v>
      </c>
      <c r="J141" s="834"/>
      <c r="K141" s="482">
        <f t="shared" si="28"/>
        <v>0</v>
      </c>
      <c r="L141" s="483" t="e">
        <f t="shared" si="19"/>
        <v>#DIV/0!</v>
      </c>
      <c r="M141" s="483" t="str">
        <f t="shared" si="20"/>
        <v>NA</v>
      </c>
      <c r="N141" s="600" t="b">
        <f t="shared" si="21"/>
        <v>0</v>
      </c>
      <c r="O141" s="612">
        <f t="shared" si="22"/>
        <v>0</v>
      </c>
      <c r="P141" s="613" t="e">
        <f t="shared" si="23"/>
        <v>#N/A</v>
      </c>
      <c r="Q141" s="424" t="e">
        <f t="shared" si="24"/>
        <v>#N/A</v>
      </c>
      <c r="R141" s="611" t="e">
        <f t="shared" si="25"/>
        <v>#N/A</v>
      </c>
      <c r="S141" s="484">
        <f t="shared" si="26"/>
        <v>0</v>
      </c>
      <c r="T141" s="374">
        <f t="shared" si="27"/>
      </c>
      <c r="U141" s="374">
        <f t="shared" si="16"/>
      </c>
    </row>
    <row r="142" spans="1:21" ht="12.75">
      <c r="A142" s="832"/>
      <c r="B142" s="842"/>
      <c r="C142" s="827"/>
      <c r="D142" s="827"/>
      <c r="E142" s="588" t="e">
        <f t="shared" si="17"/>
        <v>#N/A</v>
      </c>
      <c r="F142" s="831"/>
      <c r="G142" s="831"/>
      <c r="H142" s="831"/>
      <c r="I142" s="481" t="e">
        <f t="shared" si="18"/>
        <v>#N/A</v>
      </c>
      <c r="J142" s="834"/>
      <c r="K142" s="482">
        <f t="shared" si="28"/>
        <v>0</v>
      </c>
      <c r="L142" s="483" t="e">
        <f t="shared" si="19"/>
        <v>#DIV/0!</v>
      </c>
      <c r="M142" s="483" t="str">
        <f t="shared" si="20"/>
        <v>NA</v>
      </c>
      <c r="N142" s="600" t="b">
        <f t="shared" si="21"/>
        <v>0</v>
      </c>
      <c r="O142" s="612">
        <f t="shared" si="22"/>
        <v>0</v>
      </c>
      <c r="P142" s="613" t="e">
        <f t="shared" si="23"/>
        <v>#N/A</v>
      </c>
      <c r="Q142" s="424" t="e">
        <f t="shared" si="24"/>
        <v>#N/A</v>
      </c>
      <c r="R142" s="611" t="e">
        <f t="shared" si="25"/>
        <v>#N/A</v>
      </c>
      <c r="S142" s="484">
        <f t="shared" si="26"/>
        <v>0</v>
      </c>
      <c r="T142" s="374">
        <f t="shared" si="27"/>
      </c>
      <c r="U142" s="374">
        <f t="shared" si="16"/>
      </c>
    </row>
    <row r="143" spans="1:21" ht="12.75">
      <c r="A143" s="832"/>
      <c r="B143" s="842"/>
      <c r="C143" s="827"/>
      <c r="D143" s="827"/>
      <c r="E143" s="588" t="e">
        <f t="shared" si="17"/>
        <v>#N/A</v>
      </c>
      <c r="F143" s="831"/>
      <c r="G143" s="831"/>
      <c r="H143" s="831"/>
      <c r="I143" s="481" t="e">
        <f t="shared" si="18"/>
        <v>#N/A</v>
      </c>
      <c r="J143" s="834"/>
      <c r="K143" s="482">
        <f t="shared" si="28"/>
        <v>0</v>
      </c>
      <c r="L143" s="483" t="e">
        <f t="shared" si="19"/>
        <v>#DIV/0!</v>
      </c>
      <c r="M143" s="483" t="str">
        <f t="shared" si="20"/>
        <v>NA</v>
      </c>
      <c r="N143" s="600" t="b">
        <f t="shared" si="21"/>
        <v>0</v>
      </c>
      <c r="O143" s="612">
        <f t="shared" si="22"/>
        <v>0</v>
      </c>
      <c r="P143" s="613" t="e">
        <f t="shared" si="23"/>
        <v>#N/A</v>
      </c>
      <c r="Q143" s="424" t="e">
        <f t="shared" si="24"/>
        <v>#N/A</v>
      </c>
      <c r="R143" s="611" t="e">
        <f t="shared" si="25"/>
        <v>#N/A</v>
      </c>
      <c r="S143" s="484">
        <f t="shared" si="26"/>
        <v>0</v>
      </c>
      <c r="T143" s="374">
        <f t="shared" si="27"/>
      </c>
      <c r="U143" s="374">
        <f t="shared" si="16"/>
      </c>
    </row>
    <row r="144" spans="1:21" ht="12.75">
      <c r="A144" s="832"/>
      <c r="B144" s="842"/>
      <c r="C144" s="827"/>
      <c r="D144" s="827"/>
      <c r="E144" s="588" t="e">
        <f t="shared" si="17"/>
        <v>#N/A</v>
      </c>
      <c r="F144" s="831"/>
      <c r="G144" s="831"/>
      <c r="H144" s="831"/>
      <c r="I144" s="481" t="e">
        <f t="shared" si="18"/>
        <v>#N/A</v>
      </c>
      <c r="J144" s="834"/>
      <c r="K144" s="482">
        <f t="shared" si="28"/>
        <v>0</v>
      </c>
      <c r="L144" s="483" t="e">
        <f t="shared" si="19"/>
        <v>#DIV/0!</v>
      </c>
      <c r="M144" s="483" t="str">
        <f t="shared" si="20"/>
        <v>NA</v>
      </c>
      <c r="N144" s="600" t="b">
        <f t="shared" si="21"/>
        <v>0</v>
      </c>
      <c r="O144" s="612">
        <f t="shared" si="22"/>
        <v>0</v>
      </c>
      <c r="P144" s="613" t="e">
        <f t="shared" si="23"/>
        <v>#N/A</v>
      </c>
      <c r="Q144" s="424" t="e">
        <f t="shared" si="24"/>
        <v>#N/A</v>
      </c>
      <c r="R144" s="611" t="e">
        <f t="shared" si="25"/>
        <v>#N/A</v>
      </c>
      <c r="S144" s="484">
        <f t="shared" si="26"/>
        <v>0</v>
      </c>
      <c r="T144" s="374">
        <f t="shared" si="27"/>
      </c>
      <c r="U144" s="374">
        <f t="shared" si="16"/>
      </c>
    </row>
    <row r="145" spans="1:21" ht="12.75">
      <c r="A145" s="832"/>
      <c r="B145" s="842"/>
      <c r="C145" s="846"/>
      <c r="D145" s="827"/>
      <c r="E145" s="588" t="e">
        <f t="shared" si="17"/>
        <v>#N/A</v>
      </c>
      <c r="F145" s="831"/>
      <c r="G145" s="831"/>
      <c r="H145" s="831"/>
      <c r="I145" s="481" t="e">
        <f t="shared" si="18"/>
        <v>#N/A</v>
      </c>
      <c r="J145" s="834"/>
      <c r="K145" s="482">
        <f t="shared" si="28"/>
        <v>0</v>
      </c>
      <c r="L145" s="483" t="e">
        <f t="shared" si="19"/>
        <v>#DIV/0!</v>
      </c>
      <c r="M145" s="483" t="str">
        <f t="shared" si="20"/>
        <v>NA</v>
      </c>
      <c r="N145" s="600" t="b">
        <f t="shared" si="21"/>
        <v>0</v>
      </c>
      <c r="O145" s="612">
        <f t="shared" si="22"/>
        <v>0</v>
      </c>
      <c r="P145" s="613" t="e">
        <f t="shared" si="23"/>
        <v>#N/A</v>
      </c>
      <c r="Q145" s="424" t="e">
        <f t="shared" si="24"/>
        <v>#N/A</v>
      </c>
      <c r="R145" s="611" t="e">
        <f t="shared" si="25"/>
        <v>#N/A</v>
      </c>
      <c r="S145" s="484">
        <f t="shared" si="26"/>
        <v>0</v>
      </c>
      <c r="T145" s="374">
        <f t="shared" si="27"/>
      </c>
      <c r="U145" s="374">
        <f t="shared" si="16"/>
      </c>
    </row>
    <row r="146" spans="1:21" ht="12.75">
      <c r="A146" s="832"/>
      <c r="B146" s="842"/>
      <c r="C146" s="827"/>
      <c r="D146" s="827"/>
      <c r="E146" s="588" t="e">
        <f t="shared" si="17"/>
        <v>#N/A</v>
      </c>
      <c r="F146" s="831"/>
      <c r="G146" s="831"/>
      <c r="H146" s="831"/>
      <c r="I146" s="481" t="e">
        <f t="shared" si="18"/>
        <v>#N/A</v>
      </c>
      <c r="J146" s="834"/>
      <c r="K146" s="482">
        <f t="shared" si="28"/>
        <v>0</v>
      </c>
      <c r="L146" s="483" t="e">
        <f t="shared" si="19"/>
        <v>#DIV/0!</v>
      </c>
      <c r="M146" s="483" t="str">
        <f t="shared" si="20"/>
        <v>NA</v>
      </c>
      <c r="N146" s="600" t="b">
        <f t="shared" si="21"/>
        <v>0</v>
      </c>
      <c r="O146" s="612">
        <f t="shared" si="22"/>
        <v>0</v>
      </c>
      <c r="P146" s="613" t="e">
        <f t="shared" si="23"/>
        <v>#N/A</v>
      </c>
      <c r="Q146" s="424" t="e">
        <f t="shared" si="24"/>
        <v>#N/A</v>
      </c>
      <c r="R146" s="611" t="e">
        <f t="shared" si="25"/>
        <v>#N/A</v>
      </c>
      <c r="S146" s="484">
        <f t="shared" si="26"/>
        <v>0</v>
      </c>
      <c r="T146" s="374">
        <f t="shared" si="27"/>
      </c>
      <c r="U146" s="374">
        <f t="shared" si="16"/>
      </c>
    </row>
    <row r="147" spans="1:21" ht="12.75">
      <c r="A147" s="832"/>
      <c r="B147" s="842"/>
      <c r="C147" s="827"/>
      <c r="D147" s="827"/>
      <c r="E147" s="588" t="e">
        <f t="shared" si="17"/>
        <v>#N/A</v>
      </c>
      <c r="F147" s="831"/>
      <c r="G147" s="831"/>
      <c r="H147" s="831"/>
      <c r="I147" s="481" t="e">
        <f t="shared" si="18"/>
        <v>#N/A</v>
      </c>
      <c r="J147" s="834"/>
      <c r="K147" s="482">
        <f t="shared" si="28"/>
        <v>0</v>
      </c>
      <c r="L147" s="483" t="e">
        <f t="shared" si="19"/>
        <v>#DIV/0!</v>
      </c>
      <c r="M147" s="483" t="str">
        <f t="shared" si="20"/>
        <v>NA</v>
      </c>
      <c r="N147" s="600" t="b">
        <f t="shared" si="21"/>
        <v>0</v>
      </c>
      <c r="O147" s="612">
        <f t="shared" si="22"/>
        <v>0</v>
      </c>
      <c r="P147" s="613" t="e">
        <f t="shared" si="23"/>
        <v>#N/A</v>
      </c>
      <c r="Q147" s="424" t="e">
        <f t="shared" si="24"/>
        <v>#N/A</v>
      </c>
      <c r="R147" s="611" t="e">
        <f t="shared" si="25"/>
        <v>#N/A</v>
      </c>
      <c r="S147" s="484">
        <f t="shared" si="26"/>
        <v>0</v>
      </c>
      <c r="T147" s="374">
        <f t="shared" si="27"/>
      </c>
      <c r="U147" s="374">
        <f t="shared" si="16"/>
      </c>
    </row>
    <row r="148" spans="1:21" ht="12.75">
      <c r="A148" s="832"/>
      <c r="B148" s="842"/>
      <c r="C148" s="827"/>
      <c r="D148" s="827"/>
      <c r="E148" s="588" t="e">
        <f t="shared" si="17"/>
        <v>#N/A</v>
      </c>
      <c r="F148" s="831"/>
      <c r="G148" s="831"/>
      <c r="H148" s="831"/>
      <c r="I148" s="481" t="e">
        <f t="shared" si="18"/>
        <v>#N/A</v>
      </c>
      <c r="J148" s="834"/>
      <c r="K148" s="482">
        <f t="shared" si="28"/>
        <v>0</v>
      </c>
      <c r="L148" s="483" t="e">
        <f t="shared" si="19"/>
        <v>#DIV/0!</v>
      </c>
      <c r="M148" s="483" t="str">
        <f t="shared" si="20"/>
        <v>NA</v>
      </c>
      <c r="N148" s="600" t="b">
        <f t="shared" si="21"/>
        <v>0</v>
      </c>
      <c r="O148" s="612">
        <f t="shared" si="22"/>
        <v>0</v>
      </c>
      <c r="P148" s="613" t="e">
        <f t="shared" si="23"/>
        <v>#N/A</v>
      </c>
      <c r="Q148" s="424" t="e">
        <f t="shared" si="24"/>
        <v>#N/A</v>
      </c>
      <c r="R148" s="611" t="e">
        <f t="shared" si="25"/>
        <v>#N/A</v>
      </c>
      <c r="S148" s="484">
        <f t="shared" si="26"/>
        <v>0</v>
      </c>
      <c r="T148" s="374">
        <f t="shared" si="27"/>
      </c>
      <c r="U148" s="374">
        <f t="shared" si="16"/>
      </c>
    </row>
    <row r="149" spans="1:21" ht="12.75">
      <c r="A149" s="832"/>
      <c r="B149" s="842"/>
      <c r="C149" s="827"/>
      <c r="D149" s="827"/>
      <c r="E149" s="588" t="e">
        <f t="shared" si="17"/>
        <v>#N/A</v>
      </c>
      <c r="F149" s="831"/>
      <c r="G149" s="831"/>
      <c r="H149" s="831"/>
      <c r="I149" s="481" t="e">
        <f t="shared" si="18"/>
        <v>#N/A</v>
      </c>
      <c r="J149" s="834"/>
      <c r="K149" s="482">
        <f t="shared" si="28"/>
        <v>0</v>
      </c>
      <c r="L149" s="483" t="e">
        <f t="shared" si="19"/>
        <v>#DIV/0!</v>
      </c>
      <c r="M149" s="483" t="str">
        <f t="shared" si="20"/>
        <v>NA</v>
      </c>
      <c r="N149" s="600" t="b">
        <f t="shared" si="21"/>
        <v>0</v>
      </c>
      <c r="O149" s="612">
        <f t="shared" si="22"/>
        <v>0</v>
      </c>
      <c r="P149" s="613" t="e">
        <f t="shared" si="23"/>
        <v>#N/A</v>
      </c>
      <c r="Q149" s="424" t="e">
        <f t="shared" si="24"/>
        <v>#N/A</v>
      </c>
      <c r="R149" s="611" t="e">
        <f t="shared" si="25"/>
        <v>#N/A</v>
      </c>
      <c r="S149" s="484">
        <f t="shared" si="26"/>
        <v>0</v>
      </c>
      <c r="T149" s="374">
        <f t="shared" si="27"/>
      </c>
      <c r="U149" s="374">
        <f t="shared" si="16"/>
      </c>
    </row>
    <row r="150" spans="1:21" ht="12.75">
      <c r="A150" s="832"/>
      <c r="B150" s="842"/>
      <c r="C150" s="827"/>
      <c r="D150" s="827"/>
      <c r="E150" s="588" t="e">
        <f t="shared" si="17"/>
        <v>#N/A</v>
      </c>
      <c r="F150" s="831"/>
      <c r="G150" s="831"/>
      <c r="H150" s="831"/>
      <c r="I150" s="481" t="e">
        <f t="shared" si="18"/>
        <v>#N/A</v>
      </c>
      <c r="J150" s="834"/>
      <c r="K150" s="482">
        <f t="shared" si="28"/>
        <v>0</v>
      </c>
      <c r="L150" s="483" t="e">
        <f t="shared" si="19"/>
        <v>#DIV/0!</v>
      </c>
      <c r="M150" s="483" t="str">
        <f t="shared" si="20"/>
        <v>NA</v>
      </c>
      <c r="N150" s="600" t="b">
        <f t="shared" si="21"/>
        <v>0</v>
      </c>
      <c r="O150" s="612">
        <f t="shared" si="22"/>
        <v>0</v>
      </c>
      <c r="P150" s="613" t="e">
        <f t="shared" si="23"/>
        <v>#N/A</v>
      </c>
      <c r="Q150" s="424" t="e">
        <f t="shared" si="24"/>
        <v>#N/A</v>
      </c>
      <c r="R150" s="611" t="e">
        <f t="shared" si="25"/>
        <v>#N/A</v>
      </c>
      <c r="S150" s="484">
        <f t="shared" si="26"/>
        <v>0</v>
      </c>
      <c r="T150" s="374">
        <f t="shared" si="27"/>
      </c>
      <c r="U150" s="374">
        <f t="shared" si="16"/>
      </c>
    </row>
    <row r="151" spans="1:21" ht="12.75">
      <c r="A151" s="832"/>
      <c r="B151" s="842"/>
      <c r="C151" s="846"/>
      <c r="D151" s="827"/>
      <c r="E151" s="588" t="e">
        <f t="shared" si="17"/>
        <v>#N/A</v>
      </c>
      <c r="F151" s="831"/>
      <c r="G151" s="831"/>
      <c r="H151" s="831"/>
      <c r="I151" s="481" t="e">
        <f t="shared" si="18"/>
        <v>#N/A</v>
      </c>
      <c r="J151" s="834"/>
      <c r="K151" s="482">
        <f t="shared" si="28"/>
        <v>0</v>
      </c>
      <c r="L151" s="483" t="e">
        <f t="shared" si="19"/>
        <v>#DIV/0!</v>
      </c>
      <c r="M151" s="483" t="str">
        <f t="shared" si="20"/>
        <v>NA</v>
      </c>
      <c r="N151" s="600" t="b">
        <f t="shared" si="21"/>
        <v>0</v>
      </c>
      <c r="O151" s="612">
        <f t="shared" si="22"/>
        <v>0</v>
      </c>
      <c r="P151" s="613" t="e">
        <f t="shared" si="23"/>
        <v>#N/A</v>
      </c>
      <c r="Q151" s="424" t="e">
        <f t="shared" si="24"/>
        <v>#N/A</v>
      </c>
      <c r="R151" s="611" t="e">
        <f t="shared" si="25"/>
        <v>#N/A</v>
      </c>
      <c r="S151" s="484">
        <f t="shared" si="26"/>
        <v>0</v>
      </c>
      <c r="T151" s="374">
        <f t="shared" si="27"/>
      </c>
      <c r="U151" s="374">
        <f t="shared" si="16"/>
      </c>
    </row>
    <row r="152" spans="1:21" ht="12.75">
      <c r="A152" s="832"/>
      <c r="B152" s="842"/>
      <c r="C152" s="827"/>
      <c r="D152" s="827"/>
      <c r="E152" s="588" t="e">
        <f t="shared" si="17"/>
        <v>#N/A</v>
      </c>
      <c r="F152" s="831"/>
      <c r="G152" s="831"/>
      <c r="H152" s="831"/>
      <c r="I152" s="481" t="e">
        <f t="shared" si="18"/>
        <v>#N/A</v>
      </c>
      <c r="J152" s="834"/>
      <c r="K152" s="482">
        <f t="shared" si="28"/>
        <v>0</v>
      </c>
      <c r="L152" s="483" t="e">
        <f t="shared" si="19"/>
        <v>#DIV/0!</v>
      </c>
      <c r="M152" s="483" t="str">
        <f t="shared" si="20"/>
        <v>NA</v>
      </c>
      <c r="N152" s="600" t="b">
        <f t="shared" si="21"/>
        <v>0</v>
      </c>
      <c r="O152" s="612">
        <f t="shared" si="22"/>
        <v>0</v>
      </c>
      <c r="P152" s="613" t="e">
        <f t="shared" si="23"/>
        <v>#N/A</v>
      </c>
      <c r="Q152" s="424" t="e">
        <f t="shared" si="24"/>
        <v>#N/A</v>
      </c>
      <c r="R152" s="611" t="e">
        <f t="shared" si="25"/>
        <v>#N/A</v>
      </c>
      <c r="S152" s="484">
        <f t="shared" si="26"/>
        <v>0</v>
      </c>
      <c r="T152" s="374">
        <f t="shared" si="27"/>
      </c>
      <c r="U152" s="374">
        <f t="shared" si="16"/>
      </c>
    </row>
    <row r="153" spans="1:21" ht="12.75">
      <c r="A153" s="832"/>
      <c r="B153" s="842"/>
      <c r="C153" s="827"/>
      <c r="D153" s="827"/>
      <c r="E153" s="588" t="e">
        <f t="shared" si="17"/>
        <v>#N/A</v>
      </c>
      <c r="F153" s="831"/>
      <c r="G153" s="831"/>
      <c r="H153" s="831"/>
      <c r="I153" s="481" t="e">
        <f t="shared" si="18"/>
        <v>#N/A</v>
      </c>
      <c r="J153" s="834"/>
      <c r="K153" s="482">
        <f t="shared" si="28"/>
        <v>0</v>
      </c>
      <c r="L153" s="483" t="e">
        <f t="shared" si="19"/>
        <v>#DIV/0!</v>
      </c>
      <c r="M153" s="483" t="str">
        <f t="shared" si="20"/>
        <v>NA</v>
      </c>
      <c r="N153" s="600" t="b">
        <f t="shared" si="21"/>
        <v>0</v>
      </c>
      <c r="O153" s="612">
        <f t="shared" si="22"/>
        <v>0</v>
      </c>
      <c r="P153" s="613" t="e">
        <f t="shared" si="23"/>
        <v>#N/A</v>
      </c>
      <c r="Q153" s="424" t="e">
        <f t="shared" si="24"/>
        <v>#N/A</v>
      </c>
      <c r="R153" s="611" t="e">
        <f t="shared" si="25"/>
        <v>#N/A</v>
      </c>
      <c r="S153" s="484">
        <f t="shared" si="26"/>
        <v>0</v>
      </c>
      <c r="T153" s="374">
        <f t="shared" si="27"/>
      </c>
      <c r="U153" s="374">
        <f t="shared" si="16"/>
      </c>
    </row>
    <row r="154" spans="1:21" ht="12.75">
      <c r="A154" s="832"/>
      <c r="B154" s="842"/>
      <c r="C154" s="827"/>
      <c r="D154" s="827"/>
      <c r="E154" s="588" t="e">
        <f t="shared" si="17"/>
        <v>#N/A</v>
      </c>
      <c r="F154" s="831"/>
      <c r="G154" s="831"/>
      <c r="H154" s="831"/>
      <c r="I154" s="481" t="e">
        <f t="shared" si="18"/>
        <v>#N/A</v>
      </c>
      <c r="J154" s="834"/>
      <c r="K154" s="482">
        <f t="shared" si="28"/>
        <v>0</v>
      </c>
      <c r="L154" s="483" t="e">
        <f t="shared" si="19"/>
        <v>#DIV/0!</v>
      </c>
      <c r="M154" s="483" t="str">
        <f t="shared" si="20"/>
        <v>NA</v>
      </c>
      <c r="N154" s="600" t="b">
        <f t="shared" si="21"/>
        <v>0</v>
      </c>
      <c r="O154" s="612">
        <f t="shared" si="22"/>
        <v>0</v>
      </c>
      <c r="P154" s="613" t="e">
        <f t="shared" si="23"/>
        <v>#N/A</v>
      </c>
      <c r="Q154" s="424" t="e">
        <f t="shared" si="24"/>
        <v>#N/A</v>
      </c>
      <c r="R154" s="611" t="e">
        <f t="shared" si="25"/>
        <v>#N/A</v>
      </c>
      <c r="S154" s="484">
        <f t="shared" si="26"/>
        <v>0</v>
      </c>
      <c r="T154" s="374">
        <f t="shared" si="27"/>
      </c>
      <c r="U154" s="374">
        <f t="shared" si="16"/>
      </c>
    </row>
    <row r="155" spans="1:21" ht="12.75">
      <c r="A155" s="832"/>
      <c r="B155" s="842"/>
      <c r="C155" s="827"/>
      <c r="D155" s="827"/>
      <c r="E155" s="588" t="e">
        <f t="shared" si="17"/>
        <v>#N/A</v>
      </c>
      <c r="F155" s="831"/>
      <c r="G155" s="831"/>
      <c r="H155" s="831"/>
      <c r="I155" s="481" t="e">
        <f t="shared" si="18"/>
        <v>#N/A</v>
      </c>
      <c r="J155" s="834"/>
      <c r="K155" s="482">
        <f t="shared" si="28"/>
        <v>0</v>
      </c>
      <c r="L155" s="483" t="e">
        <f t="shared" si="19"/>
        <v>#DIV/0!</v>
      </c>
      <c r="M155" s="483" t="str">
        <f t="shared" si="20"/>
        <v>NA</v>
      </c>
      <c r="N155" s="600" t="b">
        <f t="shared" si="21"/>
        <v>0</v>
      </c>
      <c r="O155" s="612">
        <f t="shared" si="22"/>
        <v>0</v>
      </c>
      <c r="P155" s="613" t="e">
        <f t="shared" si="23"/>
        <v>#N/A</v>
      </c>
      <c r="Q155" s="424" t="e">
        <f t="shared" si="24"/>
        <v>#N/A</v>
      </c>
      <c r="R155" s="611" t="e">
        <f t="shared" si="25"/>
        <v>#N/A</v>
      </c>
      <c r="S155" s="484">
        <f t="shared" si="26"/>
        <v>0</v>
      </c>
      <c r="T155" s="374">
        <f t="shared" si="27"/>
      </c>
      <c r="U155" s="374">
        <f t="shared" si="16"/>
      </c>
    </row>
    <row r="156" spans="1:21" ht="12.75">
      <c r="A156" s="832"/>
      <c r="B156" s="842"/>
      <c r="C156" s="827"/>
      <c r="D156" s="827"/>
      <c r="E156" s="588" t="e">
        <f t="shared" si="17"/>
        <v>#N/A</v>
      </c>
      <c r="F156" s="831"/>
      <c r="G156" s="831"/>
      <c r="H156" s="831"/>
      <c r="I156" s="481" t="e">
        <f t="shared" si="18"/>
        <v>#N/A</v>
      </c>
      <c r="J156" s="834"/>
      <c r="K156" s="482">
        <f t="shared" si="28"/>
        <v>0</v>
      </c>
      <c r="L156" s="483" t="e">
        <f t="shared" si="19"/>
        <v>#DIV/0!</v>
      </c>
      <c r="M156" s="483" t="str">
        <f t="shared" si="20"/>
        <v>NA</v>
      </c>
      <c r="N156" s="600" t="b">
        <f t="shared" si="21"/>
        <v>0</v>
      </c>
      <c r="O156" s="612">
        <f t="shared" si="22"/>
        <v>0</v>
      </c>
      <c r="P156" s="613" t="e">
        <f t="shared" si="23"/>
        <v>#N/A</v>
      </c>
      <c r="Q156" s="424" t="e">
        <f t="shared" si="24"/>
        <v>#N/A</v>
      </c>
      <c r="R156" s="611" t="e">
        <f t="shared" si="25"/>
        <v>#N/A</v>
      </c>
      <c r="S156" s="484">
        <f t="shared" si="26"/>
        <v>0</v>
      </c>
      <c r="T156" s="374">
        <f t="shared" si="27"/>
      </c>
      <c r="U156" s="374">
        <f aca="true" t="shared" si="29" ref="U156:U219">IF(F156&gt;0,IF(Q156&lt;R156,"Insufficient lighting to meet IESNA footcandle recommendations.",""),"")</f>
      </c>
    </row>
    <row r="157" spans="1:21" ht="12.75">
      <c r="A157" s="832"/>
      <c r="B157" s="842"/>
      <c r="C157" s="846"/>
      <c r="D157" s="827"/>
      <c r="E157" s="588" t="e">
        <f aca="true" t="shared" si="30" ref="E157:E220">LOOKUP(D157,$W$2:$W$17,$AD$2:$AD$17)</f>
        <v>#N/A</v>
      </c>
      <c r="F157" s="831"/>
      <c r="G157" s="831"/>
      <c r="H157" s="831"/>
      <c r="I157" s="481" t="e">
        <f aca="true" t="shared" si="31" ref="I157:I220">VLOOKUP(G157,$I$2:$K$24,3,FALSE)</f>
        <v>#N/A</v>
      </c>
      <c r="J157" s="834"/>
      <c r="K157" s="482">
        <f t="shared" si="28"/>
        <v>0</v>
      </c>
      <c r="L157" s="483" t="e">
        <f aca="true" t="shared" si="32" ref="L157:L220">IF(D157="Exit Signs","convert to kW",K157/(B157*J157))</f>
        <v>#DIV/0!</v>
      </c>
      <c r="M157" s="483" t="str">
        <f aca="true" t="shared" si="33" ref="M157:M220">IF(H157="Yes",IF(D157="Stairs - Active",0.65*L157,IF(D157="Corridor/Transition",0.75*L157,IF(D157="Conference/meeting/multipurpose",1*L157,IF(D157="Community or Computer Room",1*L157,0.9*L157)))),"NA")</f>
        <v>NA</v>
      </c>
      <c r="N157" s="600" t="b">
        <f aca="true" t="shared" si="34" ref="N157:N220">IF($C$15="Space-By-Space (90.1-2007)",LOOKUP(D157,$W$2:$W$17,$X$2:$X$17),IF($C$15="Space-By-Space (90.1-2010)",LOOKUP(D157,$W$2:$W$17,$Y$2:$Y$17),IF($C$15="Building Area (90.1-2007)",LOOKUP(D157,$W$2:$W$17,$Z$2:$Z$17),IF($C$15="Building Area (90.1-2010)",LOOKUP(D157,$W$2:$W$17,$AA$2:$AA$17),IF($C$15="CA Title 24-2013",LOOKUP(D157,$W$2:$W$17,$AB$2:$AB$17))))))</f>
        <v>0</v>
      </c>
      <c r="O157" s="612">
        <f aca="true" t="shared" si="35" ref="O157:O220">IF(D157="Exit Signs",0,IF(B157&gt;0,N157*B157*J157,0))</f>
        <v>0</v>
      </c>
      <c r="P157" s="613" t="e">
        <f aca="true" t="shared" si="36" ref="P157:P220">LOOKUP(G157,$I$2:$I$24,$J$2:$J$24)*LOOKUP(LOOKUP(G157,$I$2:$I$24,$L$2:$L$24),$AF$2:$AF$17,$AJ$2:$AJ$17)*IF(E157="A",LOOKUP(LOOKUP(G157,$I$2:$I$24,$L$2:$L$24),$AF$2:$AF$17,$AG$2:$AG$17),IF(E157="B",LOOKUP(LOOKUP(G157,$I$2:$I$24,$L$2:$L$24),$AF$2:$AF$17,$AH$2:$AH$17),IF(E157="C",LOOKUP(LOOKUP(G157,$I$2:$I$24,$L$2:$L$24),$AF$2:$AF$17,$AI$2:$AI$17))))</f>
        <v>#N/A</v>
      </c>
      <c r="Q157" s="424" t="e">
        <f aca="true" t="shared" si="37" ref="Q157:Q220">P157*K157/S157</f>
        <v>#N/A</v>
      </c>
      <c r="R157" s="611" t="e">
        <f aca="true" t="shared" si="38" ref="R157:R220">LOOKUP(D157,$W$2:$W$17,$AC$2:$AC$17)</f>
        <v>#N/A</v>
      </c>
      <c r="S157" s="484">
        <f aca="true" t="shared" si="39" ref="S157:S220">B157*J157</f>
        <v>0</v>
      </c>
      <c r="T157" s="374">
        <f aca="true" t="shared" si="40" ref="T157:T220">IF(F157&gt;0,IF(Q157&lt;R157,"Insufficient lighting to meet IESNA footcandle recommendations.",""),"")</f>
      </c>
      <c r="U157" s="374">
        <f t="shared" si="29"/>
      </c>
    </row>
    <row r="158" spans="1:21" ht="12.75">
      <c r="A158" s="832"/>
      <c r="B158" s="842"/>
      <c r="C158" s="827"/>
      <c r="D158" s="827"/>
      <c r="E158" s="588" t="e">
        <f t="shared" si="30"/>
        <v>#N/A</v>
      </c>
      <c r="F158" s="831"/>
      <c r="G158" s="831"/>
      <c r="H158" s="831"/>
      <c r="I158" s="481" t="e">
        <f t="shared" si="31"/>
        <v>#N/A</v>
      </c>
      <c r="J158" s="834"/>
      <c r="K158" s="482">
        <f t="shared" si="28"/>
        <v>0</v>
      </c>
      <c r="L158" s="483" t="e">
        <f t="shared" si="32"/>
        <v>#DIV/0!</v>
      </c>
      <c r="M158" s="483" t="str">
        <f t="shared" si="33"/>
        <v>NA</v>
      </c>
      <c r="N158" s="600" t="b">
        <f t="shared" si="34"/>
        <v>0</v>
      </c>
      <c r="O158" s="612">
        <f t="shared" si="35"/>
        <v>0</v>
      </c>
      <c r="P158" s="613" t="e">
        <f t="shared" si="36"/>
        <v>#N/A</v>
      </c>
      <c r="Q158" s="424" t="e">
        <f t="shared" si="37"/>
        <v>#N/A</v>
      </c>
      <c r="R158" s="611" t="e">
        <f t="shared" si="38"/>
        <v>#N/A</v>
      </c>
      <c r="S158" s="484">
        <f t="shared" si="39"/>
        <v>0</v>
      </c>
      <c r="T158" s="374">
        <f t="shared" si="40"/>
      </c>
      <c r="U158" s="374">
        <f t="shared" si="29"/>
      </c>
    </row>
    <row r="159" spans="1:21" ht="12.75">
      <c r="A159" s="832"/>
      <c r="B159" s="842"/>
      <c r="C159" s="827"/>
      <c r="D159" s="827"/>
      <c r="E159" s="588" t="e">
        <f t="shared" si="30"/>
        <v>#N/A</v>
      </c>
      <c r="F159" s="831"/>
      <c r="G159" s="831"/>
      <c r="H159" s="831"/>
      <c r="I159" s="481" t="e">
        <f t="shared" si="31"/>
        <v>#N/A</v>
      </c>
      <c r="J159" s="834"/>
      <c r="K159" s="482">
        <f t="shared" si="28"/>
        <v>0</v>
      </c>
      <c r="L159" s="483" t="e">
        <f t="shared" si="32"/>
        <v>#DIV/0!</v>
      </c>
      <c r="M159" s="483" t="str">
        <f t="shared" si="33"/>
        <v>NA</v>
      </c>
      <c r="N159" s="600" t="b">
        <f t="shared" si="34"/>
        <v>0</v>
      </c>
      <c r="O159" s="612">
        <f t="shared" si="35"/>
        <v>0</v>
      </c>
      <c r="P159" s="613" t="e">
        <f t="shared" si="36"/>
        <v>#N/A</v>
      </c>
      <c r="Q159" s="424" t="e">
        <f t="shared" si="37"/>
        <v>#N/A</v>
      </c>
      <c r="R159" s="611" t="e">
        <f t="shared" si="38"/>
        <v>#N/A</v>
      </c>
      <c r="S159" s="484">
        <f t="shared" si="39"/>
        <v>0</v>
      </c>
      <c r="T159" s="374">
        <f t="shared" si="40"/>
      </c>
      <c r="U159" s="374">
        <f t="shared" si="29"/>
      </c>
    </row>
    <row r="160" spans="1:21" ht="12.75">
      <c r="A160" s="832"/>
      <c r="B160" s="842"/>
      <c r="C160" s="827"/>
      <c r="D160" s="827"/>
      <c r="E160" s="588" t="e">
        <f t="shared" si="30"/>
        <v>#N/A</v>
      </c>
      <c r="F160" s="831"/>
      <c r="G160" s="831"/>
      <c r="H160" s="831"/>
      <c r="I160" s="481" t="e">
        <f t="shared" si="31"/>
        <v>#N/A</v>
      </c>
      <c r="J160" s="834"/>
      <c r="K160" s="482">
        <f t="shared" si="28"/>
        <v>0</v>
      </c>
      <c r="L160" s="483" t="e">
        <f t="shared" si="32"/>
        <v>#DIV/0!</v>
      </c>
      <c r="M160" s="483" t="str">
        <f t="shared" si="33"/>
        <v>NA</v>
      </c>
      <c r="N160" s="600" t="b">
        <f t="shared" si="34"/>
        <v>0</v>
      </c>
      <c r="O160" s="612">
        <f t="shared" si="35"/>
        <v>0</v>
      </c>
      <c r="P160" s="613" t="e">
        <f t="shared" si="36"/>
        <v>#N/A</v>
      </c>
      <c r="Q160" s="424" t="e">
        <f t="shared" si="37"/>
        <v>#N/A</v>
      </c>
      <c r="R160" s="611" t="e">
        <f t="shared" si="38"/>
        <v>#N/A</v>
      </c>
      <c r="S160" s="484">
        <f t="shared" si="39"/>
        <v>0</v>
      </c>
      <c r="T160" s="374">
        <f t="shared" si="40"/>
      </c>
      <c r="U160" s="374">
        <f t="shared" si="29"/>
      </c>
    </row>
    <row r="161" spans="1:21" ht="12.75">
      <c r="A161" s="832"/>
      <c r="B161" s="842"/>
      <c r="C161" s="827"/>
      <c r="D161" s="827"/>
      <c r="E161" s="588" t="e">
        <f t="shared" si="30"/>
        <v>#N/A</v>
      </c>
      <c r="F161" s="831"/>
      <c r="G161" s="831"/>
      <c r="H161" s="831"/>
      <c r="I161" s="481" t="e">
        <f t="shared" si="31"/>
        <v>#N/A</v>
      </c>
      <c r="J161" s="834"/>
      <c r="K161" s="482">
        <f t="shared" si="28"/>
        <v>0</v>
      </c>
      <c r="L161" s="483" t="e">
        <f t="shared" si="32"/>
        <v>#DIV/0!</v>
      </c>
      <c r="M161" s="483" t="str">
        <f t="shared" si="33"/>
        <v>NA</v>
      </c>
      <c r="N161" s="600" t="b">
        <f t="shared" si="34"/>
        <v>0</v>
      </c>
      <c r="O161" s="612">
        <f t="shared" si="35"/>
        <v>0</v>
      </c>
      <c r="P161" s="613" t="e">
        <f t="shared" si="36"/>
        <v>#N/A</v>
      </c>
      <c r="Q161" s="424" t="e">
        <f t="shared" si="37"/>
        <v>#N/A</v>
      </c>
      <c r="R161" s="611" t="e">
        <f t="shared" si="38"/>
        <v>#N/A</v>
      </c>
      <c r="S161" s="484">
        <f t="shared" si="39"/>
        <v>0</v>
      </c>
      <c r="T161" s="374">
        <f t="shared" si="40"/>
      </c>
      <c r="U161" s="374">
        <f t="shared" si="29"/>
      </c>
    </row>
    <row r="162" spans="1:21" ht="12.75">
      <c r="A162" s="832"/>
      <c r="B162" s="842"/>
      <c r="C162" s="827"/>
      <c r="D162" s="827"/>
      <c r="E162" s="588" t="e">
        <f t="shared" si="30"/>
        <v>#N/A</v>
      </c>
      <c r="F162" s="831"/>
      <c r="G162" s="831"/>
      <c r="H162" s="831"/>
      <c r="I162" s="481" t="e">
        <f t="shared" si="31"/>
        <v>#N/A</v>
      </c>
      <c r="J162" s="834"/>
      <c r="K162" s="482">
        <f aca="true" t="shared" si="41" ref="K162:K225">IF(D162="Exit Signs",0,IF(F162&gt;0,F162*I162*J162,0))</f>
        <v>0</v>
      </c>
      <c r="L162" s="483" t="e">
        <f t="shared" si="32"/>
        <v>#DIV/0!</v>
      </c>
      <c r="M162" s="483" t="str">
        <f t="shared" si="33"/>
        <v>NA</v>
      </c>
      <c r="N162" s="600" t="b">
        <f t="shared" si="34"/>
        <v>0</v>
      </c>
      <c r="O162" s="612">
        <f t="shared" si="35"/>
        <v>0</v>
      </c>
      <c r="P162" s="613" t="e">
        <f t="shared" si="36"/>
        <v>#N/A</v>
      </c>
      <c r="Q162" s="424" t="e">
        <f t="shared" si="37"/>
        <v>#N/A</v>
      </c>
      <c r="R162" s="611" t="e">
        <f t="shared" si="38"/>
        <v>#N/A</v>
      </c>
      <c r="S162" s="484">
        <f t="shared" si="39"/>
        <v>0</v>
      </c>
      <c r="T162" s="374">
        <f t="shared" si="40"/>
      </c>
      <c r="U162" s="374">
        <f t="shared" si="29"/>
      </c>
    </row>
    <row r="163" spans="1:21" ht="12.75">
      <c r="A163" s="832"/>
      <c r="B163" s="842"/>
      <c r="C163" s="846"/>
      <c r="D163" s="827"/>
      <c r="E163" s="588" t="e">
        <f t="shared" si="30"/>
        <v>#N/A</v>
      </c>
      <c r="F163" s="831"/>
      <c r="G163" s="831"/>
      <c r="H163" s="831"/>
      <c r="I163" s="481" t="e">
        <f t="shared" si="31"/>
        <v>#N/A</v>
      </c>
      <c r="J163" s="834"/>
      <c r="K163" s="482">
        <f t="shared" si="41"/>
        <v>0</v>
      </c>
      <c r="L163" s="483" t="e">
        <f t="shared" si="32"/>
        <v>#DIV/0!</v>
      </c>
      <c r="M163" s="483" t="str">
        <f t="shared" si="33"/>
        <v>NA</v>
      </c>
      <c r="N163" s="600" t="b">
        <f t="shared" si="34"/>
        <v>0</v>
      </c>
      <c r="O163" s="612">
        <f t="shared" si="35"/>
        <v>0</v>
      </c>
      <c r="P163" s="613" t="e">
        <f t="shared" si="36"/>
        <v>#N/A</v>
      </c>
      <c r="Q163" s="424" t="e">
        <f t="shared" si="37"/>
        <v>#N/A</v>
      </c>
      <c r="R163" s="611" t="e">
        <f t="shared" si="38"/>
        <v>#N/A</v>
      </c>
      <c r="S163" s="484">
        <f t="shared" si="39"/>
        <v>0</v>
      </c>
      <c r="T163" s="374">
        <f t="shared" si="40"/>
      </c>
      <c r="U163" s="374">
        <f t="shared" si="29"/>
      </c>
    </row>
    <row r="164" spans="1:21" ht="12.75">
      <c r="A164" s="832"/>
      <c r="B164" s="842"/>
      <c r="C164" s="827"/>
      <c r="D164" s="827"/>
      <c r="E164" s="588" t="e">
        <f t="shared" si="30"/>
        <v>#N/A</v>
      </c>
      <c r="F164" s="831"/>
      <c r="G164" s="831"/>
      <c r="H164" s="831"/>
      <c r="I164" s="481" t="e">
        <f t="shared" si="31"/>
        <v>#N/A</v>
      </c>
      <c r="J164" s="834"/>
      <c r="K164" s="482">
        <f t="shared" si="41"/>
        <v>0</v>
      </c>
      <c r="L164" s="483" t="e">
        <f t="shared" si="32"/>
        <v>#DIV/0!</v>
      </c>
      <c r="M164" s="483" t="str">
        <f t="shared" si="33"/>
        <v>NA</v>
      </c>
      <c r="N164" s="600" t="b">
        <f t="shared" si="34"/>
        <v>0</v>
      </c>
      <c r="O164" s="612">
        <f t="shared" si="35"/>
        <v>0</v>
      </c>
      <c r="P164" s="613" t="e">
        <f t="shared" si="36"/>
        <v>#N/A</v>
      </c>
      <c r="Q164" s="424" t="e">
        <f t="shared" si="37"/>
        <v>#N/A</v>
      </c>
      <c r="R164" s="611" t="e">
        <f t="shared" si="38"/>
        <v>#N/A</v>
      </c>
      <c r="S164" s="484">
        <f t="shared" si="39"/>
        <v>0</v>
      </c>
      <c r="T164" s="374">
        <f t="shared" si="40"/>
      </c>
      <c r="U164" s="374">
        <f t="shared" si="29"/>
      </c>
    </row>
    <row r="165" spans="1:21" ht="12.75">
      <c r="A165" s="832"/>
      <c r="B165" s="842"/>
      <c r="C165" s="827"/>
      <c r="D165" s="827"/>
      <c r="E165" s="588" t="e">
        <f t="shared" si="30"/>
        <v>#N/A</v>
      </c>
      <c r="F165" s="831"/>
      <c r="G165" s="831"/>
      <c r="H165" s="831"/>
      <c r="I165" s="481" t="e">
        <f t="shared" si="31"/>
        <v>#N/A</v>
      </c>
      <c r="J165" s="834"/>
      <c r="K165" s="482">
        <f t="shared" si="41"/>
        <v>0</v>
      </c>
      <c r="L165" s="483" t="e">
        <f t="shared" si="32"/>
        <v>#DIV/0!</v>
      </c>
      <c r="M165" s="483" t="str">
        <f t="shared" si="33"/>
        <v>NA</v>
      </c>
      <c r="N165" s="600" t="b">
        <f t="shared" si="34"/>
        <v>0</v>
      </c>
      <c r="O165" s="612">
        <f t="shared" si="35"/>
        <v>0</v>
      </c>
      <c r="P165" s="613" t="e">
        <f t="shared" si="36"/>
        <v>#N/A</v>
      </c>
      <c r="Q165" s="424" t="e">
        <f t="shared" si="37"/>
        <v>#N/A</v>
      </c>
      <c r="R165" s="611" t="e">
        <f t="shared" si="38"/>
        <v>#N/A</v>
      </c>
      <c r="S165" s="484">
        <f t="shared" si="39"/>
        <v>0</v>
      </c>
      <c r="T165" s="374">
        <f t="shared" si="40"/>
      </c>
      <c r="U165" s="374">
        <f t="shared" si="29"/>
      </c>
    </row>
    <row r="166" spans="1:21" ht="12.75">
      <c r="A166" s="832"/>
      <c r="B166" s="842"/>
      <c r="C166" s="827"/>
      <c r="D166" s="827"/>
      <c r="E166" s="588" t="e">
        <f t="shared" si="30"/>
        <v>#N/A</v>
      </c>
      <c r="F166" s="831"/>
      <c r="G166" s="831"/>
      <c r="H166" s="831"/>
      <c r="I166" s="481" t="e">
        <f t="shared" si="31"/>
        <v>#N/A</v>
      </c>
      <c r="J166" s="834"/>
      <c r="K166" s="482">
        <f t="shared" si="41"/>
        <v>0</v>
      </c>
      <c r="L166" s="483" t="e">
        <f t="shared" si="32"/>
        <v>#DIV/0!</v>
      </c>
      <c r="M166" s="483" t="str">
        <f t="shared" si="33"/>
        <v>NA</v>
      </c>
      <c r="N166" s="600" t="b">
        <f t="shared" si="34"/>
        <v>0</v>
      </c>
      <c r="O166" s="612">
        <f t="shared" si="35"/>
        <v>0</v>
      </c>
      <c r="P166" s="613" t="e">
        <f t="shared" si="36"/>
        <v>#N/A</v>
      </c>
      <c r="Q166" s="424" t="e">
        <f t="shared" si="37"/>
        <v>#N/A</v>
      </c>
      <c r="R166" s="611" t="e">
        <f t="shared" si="38"/>
        <v>#N/A</v>
      </c>
      <c r="S166" s="484">
        <f t="shared" si="39"/>
        <v>0</v>
      </c>
      <c r="T166" s="374">
        <f t="shared" si="40"/>
      </c>
      <c r="U166" s="374">
        <f t="shared" si="29"/>
      </c>
    </row>
    <row r="167" spans="1:21" ht="12.75">
      <c r="A167" s="832"/>
      <c r="B167" s="842"/>
      <c r="C167" s="827"/>
      <c r="D167" s="827"/>
      <c r="E167" s="588" t="e">
        <f t="shared" si="30"/>
        <v>#N/A</v>
      </c>
      <c r="F167" s="831"/>
      <c r="G167" s="831"/>
      <c r="H167" s="831"/>
      <c r="I167" s="481" t="e">
        <f t="shared" si="31"/>
        <v>#N/A</v>
      </c>
      <c r="J167" s="834"/>
      <c r="K167" s="482">
        <f t="shared" si="41"/>
        <v>0</v>
      </c>
      <c r="L167" s="483" t="e">
        <f t="shared" si="32"/>
        <v>#DIV/0!</v>
      </c>
      <c r="M167" s="483" t="str">
        <f t="shared" si="33"/>
        <v>NA</v>
      </c>
      <c r="N167" s="600" t="b">
        <f t="shared" si="34"/>
        <v>0</v>
      </c>
      <c r="O167" s="612">
        <f t="shared" si="35"/>
        <v>0</v>
      </c>
      <c r="P167" s="613" t="e">
        <f t="shared" si="36"/>
        <v>#N/A</v>
      </c>
      <c r="Q167" s="424" t="e">
        <f t="shared" si="37"/>
        <v>#N/A</v>
      </c>
      <c r="R167" s="611" t="e">
        <f t="shared" si="38"/>
        <v>#N/A</v>
      </c>
      <c r="S167" s="484">
        <f t="shared" si="39"/>
        <v>0</v>
      </c>
      <c r="T167" s="374">
        <f t="shared" si="40"/>
      </c>
      <c r="U167" s="374">
        <f t="shared" si="29"/>
      </c>
    </row>
    <row r="168" spans="1:21" ht="12.75">
      <c r="A168" s="832"/>
      <c r="B168" s="842"/>
      <c r="C168" s="827"/>
      <c r="D168" s="827"/>
      <c r="E168" s="588" t="e">
        <f t="shared" si="30"/>
        <v>#N/A</v>
      </c>
      <c r="F168" s="831"/>
      <c r="G168" s="831"/>
      <c r="H168" s="831"/>
      <c r="I168" s="481" t="e">
        <f t="shared" si="31"/>
        <v>#N/A</v>
      </c>
      <c r="J168" s="834"/>
      <c r="K168" s="482">
        <f t="shared" si="41"/>
        <v>0</v>
      </c>
      <c r="L168" s="483" t="e">
        <f t="shared" si="32"/>
        <v>#DIV/0!</v>
      </c>
      <c r="M168" s="483" t="str">
        <f t="shared" si="33"/>
        <v>NA</v>
      </c>
      <c r="N168" s="600" t="b">
        <f t="shared" si="34"/>
        <v>0</v>
      </c>
      <c r="O168" s="612">
        <f t="shared" si="35"/>
        <v>0</v>
      </c>
      <c r="P168" s="613" t="e">
        <f t="shared" si="36"/>
        <v>#N/A</v>
      </c>
      <c r="Q168" s="424" t="e">
        <f t="shared" si="37"/>
        <v>#N/A</v>
      </c>
      <c r="R168" s="611" t="e">
        <f t="shared" si="38"/>
        <v>#N/A</v>
      </c>
      <c r="S168" s="484">
        <f t="shared" si="39"/>
        <v>0</v>
      </c>
      <c r="T168" s="374">
        <f t="shared" si="40"/>
      </c>
      <c r="U168" s="374">
        <f t="shared" si="29"/>
      </c>
    </row>
    <row r="169" spans="1:21" ht="12.75">
      <c r="A169" s="832"/>
      <c r="B169" s="842"/>
      <c r="C169" s="846"/>
      <c r="D169" s="827"/>
      <c r="E169" s="588" t="e">
        <f t="shared" si="30"/>
        <v>#N/A</v>
      </c>
      <c r="F169" s="831"/>
      <c r="G169" s="831"/>
      <c r="H169" s="831"/>
      <c r="I169" s="481" t="e">
        <f t="shared" si="31"/>
        <v>#N/A</v>
      </c>
      <c r="J169" s="834"/>
      <c r="K169" s="482">
        <f t="shared" si="41"/>
        <v>0</v>
      </c>
      <c r="L169" s="483" t="e">
        <f t="shared" si="32"/>
        <v>#DIV/0!</v>
      </c>
      <c r="M169" s="483" t="str">
        <f t="shared" si="33"/>
        <v>NA</v>
      </c>
      <c r="N169" s="600" t="b">
        <f t="shared" si="34"/>
        <v>0</v>
      </c>
      <c r="O169" s="612">
        <f t="shared" si="35"/>
        <v>0</v>
      </c>
      <c r="P169" s="613" t="e">
        <f t="shared" si="36"/>
        <v>#N/A</v>
      </c>
      <c r="Q169" s="424" t="e">
        <f t="shared" si="37"/>
        <v>#N/A</v>
      </c>
      <c r="R169" s="611" t="e">
        <f t="shared" si="38"/>
        <v>#N/A</v>
      </c>
      <c r="S169" s="484">
        <f t="shared" si="39"/>
        <v>0</v>
      </c>
      <c r="T169" s="374">
        <f t="shared" si="40"/>
      </c>
      <c r="U169" s="374">
        <f t="shared" si="29"/>
      </c>
    </row>
    <row r="170" spans="1:21" ht="12.75">
      <c r="A170" s="832"/>
      <c r="B170" s="842"/>
      <c r="C170" s="827"/>
      <c r="D170" s="827"/>
      <c r="E170" s="588" t="e">
        <f t="shared" si="30"/>
        <v>#N/A</v>
      </c>
      <c r="F170" s="831"/>
      <c r="G170" s="831"/>
      <c r="H170" s="831"/>
      <c r="I170" s="481" t="e">
        <f t="shared" si="31"/>
        <v>#N/A</v>
      </c>
      <c r="J170" s="834"/>
      <c r="K170" s="482">
        <f t="shared" si="41"/>
        <v>0</v>
      </c>
      <c r="L170" s="483" t="e">
        <f t="shared" si="32"/>
        <v>#DIV/0!</v>
      </c>
      <c r="M170" s="483" t="str">
        <f t="shared" si="33"/>
        <v>NA</v>
      </c>
      <c r="N170" s="600" t="b">
        <f t="shared" si="34"/>
        <v>0</v>
      </c>
      <c r="O170" s="612">
        <f t="shared" si="35"/>
        <v>0</v>
      </c>
      <c r="P170" s="613" t="e">
        <f t="shared" si="36"/>
        <v>#N/A</v>
      </c>
      <c r="Q170" s="424" t="e">
        <f t="shared" si="37"/>
        <v>#N/A</v>
      </c>
      <c r="R170" s="611" t="e">
        <f t="shared" si="38"/>
        <v>#N/A</v>
      </c>
      <c r="S170" s="484">
        <f t="shared" si="39"/>
        <v>0</v>
      </c>
      <c r="T170" s="374">
        <f t="shared" si="40"/>
      </c>
      <c r="U170" s="374">
        <f t="shared" si="29"/>
      </c>
    </row>
    <row r="171" spans="1:21" ht="12.75">
      <c r="A171" s="832"/>
      <c r="B171" s="842"/>
      <c r="C171" s="827"/>
      <c r="D171" s="827"/>
      <c r="E171" s="588" t="e">
        <f t="shared" si="30"/>
        <v>#N/A</v>
      </c>
      <c r="F171" s="831"/>
      <c r="G171" s="831"/>
      <c r="H171" s="831"/>
      <c r="I171" s="481" t="e">
        <f t="shared" si="31"/>
        <v>#N/A</v>
      </c>
      <c r="J171" s="834"/>
      <c r="K171" s="482">
        <f t="shared" si="41"/>
        <v>0</v>
      </c>
      <c r="L171" s="483" t="e">
        <f t="shared" si="32"/>
        <v>#DIV/0!</v>
      </c>
      <c r="M171" s="483" t="str">
        <f t="shared" si="33"/>
        <v>NA</v>
      </c>
      <c r="N171" s="600" t="b">
        <f t="shared" si="34"/>
        <v>0</v>
      </c>
      <c r="O171" s="612">
        <f t="shared" si="35"/>
        <v>0</v>
      </c>
      <c r="P171" s="613" t="e">
        <f t="shared" si="36"/>
        <v>#N/A</v>
      </c>
      <c r="Q171" s="424" t="e">
        <f t="shared" si="37"/>
        <v>#N/A</v>
      </c>
      <c r="R171" s="611" t="e">
        <f t="shared" si="38"/>
        <v>#N/A</v>
      </c>
      <c r="S171" s="484">
        <f t="shared" si="39"/>
        <v>0</v>
      </c>
      <c r="T171" s="374">
        <f t="shared" si="40"/>
      </c>
      <c r="U171" s="374">
        <f t="shared" si="29"/>
      </c>
    </row>
    <row r="172" spans="1:21" ht="12.75">
      <c r="A172" s="832"/>
      <c r="B172" s="842"/>
      <c r="C172" s="827"/>
      <c r="D172" s="827"/>
      <c r="E172" s="588" t="e">
        <f t="shared" si="30"/>
        <v>#N/A</v>
      </c>
      <c r="F172" s="831"/>
      <c r="G172" s="831"/>
      <c r="H172" s="831"/>
      <c r="I172" s="481" t="e">
        <f t="shared" si="31"/>
        <v>#N/A</v>
      </c>
      <c r="J172" s="834"/>
      <c r="K172" s="482">
        <f t="shared" si="41"/>
        <v>0</v>
      </c>
      <c r="L172" s="483" t="e">
        <f t="shared" si="32"/>
        <v>#DIV/0!</v>
      </c>
      <c r="M172" s="483" t="str">
        <f t="shared" si="33"/>
        <v>NA</v>
      </c>
      <c r="N172" s="600" t="b">
        <f t="shared" si="34"/>
        <v>0</v>
      </c>
      <c r="O172" s="612">
        <f t="shared" si="35"/>
        <v>0</v>
      </c>
      <c r="P172" s="613" t="e">
        <f t="shared" si="36"/>
        <v>#N/A</v>
      </c>
      <c r="Q172" s="424" t="e">
        <f t="shared" si="37"/>
        <v>#N/A</v>
      </c>
      <c r="R172" s="611" t="e">
        <f t="shared" si="38"/>
        <v>#N/A</v>
      </c>
      <c r="S172" s="484">
        <f t="shared" si="39"/>
        <v>0</v>
      </c>
      <c r="T172" s="374">
        <f t="shared" si="40"/>
      </c>
      <c r="U172" s="374">
        <f t="shared" si="29"/>
      </c>
    </row>
    <row r="173" spans="1:21" ht="12.75">
      <c r="A173" s="832"/>
      <c r="B173" s="842"/>
      <c r="C173" s="827"/>
      <c r="D173" s="827"/>
      <c r="E173" s="588" t="e">
        <f t="shared" si="30"/>
        <v>#N/A</v>
      </c>
      <c r="F173" s="831"/>
      <c r="G173" s="831"/>
      <c r="H173" s="831"/>
      <c r="I173" s="481" t="e">
        <f t="shared" si="31"/>
        <v>#N/A</v>
      </c>
      <c r="J173" s="834"/>
      <c r="K173" s="482">
        <f t="shared" si="41"/>
        <v>0</v>
      </c>
      <c r="L173" s="483" t="e">
        <f t="shared" si="32"/>
        <v>#DIV/0!</v>
      </c>
      <c r="M173" s="483" t="str">
        <f t="shared" si="33"/>
        <v>NA</v>
      </c>
      <c r="N173" s="600" t="b">
        <f t="shared" si="34"/>
        <v>0</v>
      </c>
      <c r="O173" s="612">
        <f t="shared" si="35"/>
        <v>0</v>
      </c>
      <c r="P173" s="613" t="e">
        <f t="shared" si="36"/>
        <v>#N/A</v>
      </c>
      <c r="Q173" s="424" t="e">
        <f t="shared" si="37"/>
        <v>#N/A</v>
      </c>
      <c r="R173" s="611" t="e">
        <f t="shared" si="38"/>
        <v>#N/A</v>
      </c>
      <c r="S173" s="484">
        <f t="shared" si="39"/>
        <v>0</v>
      </c>
      <c r="T173" s="374">
        <f t="shared" si="40"/>
      </c>
      <c r="U173" s="374">
        <f t="shared" si="29"/>
      </c>
    </row>
    <row r="174" spans="1:21" ht="12.75">
      <c r="A174" s="832"/>
      <c r="B174" s="842"/>
      <c r="C174" s="827"/>
      <c r="D174" s="827"/>
      <c r="E174" s="588" t="e">
        <f t="shared" si="30"/>
        <v>#N/A</v>
      </c>
      <c r="F174" s="831"/>
      <c r="G174" s="831"/>
      <c r="H174" s="831"/>
      <c r="I174" s="481" t="e">
        <f t="shared" si="31"/>
        <v>#N/A</v>
      </c>
      <c r="J174" s="834"/>
      <c r="K174" s="482">
        <f t="shared" si="41"/>
        <v>0</v>
      </c>
      <c r="L174" s="483" t="e">
        <f t="shared" si="32"/>
        <v>#DIV/0!</v>
      </c>
      <c r="M174" s="483" t="str">
        <f t="shared" si="33"/>
        <v>NA</v>
      </c>
      <c r="N174" s="600" t="b">
        <f t="shared" si="34"/>
        <v>0</v>
      </c>
      <c r="O174" s="612">
        <f t="shared" si="35"/>
        <v>0</v>
      </c>
      <c r="P174" s="613" t="e">
        <f t="shared" si="36"/>
        <v>#N/A</v>
      </c>
      <c r="Q174" s="424" t="e">
        <f t="shared" si="37"/>
        <v>#N/A</v>
      </c>
      <c r="R174" s="611" t="e">
        <f t="shared" si="38"/>
        <v>#N/A</v>
      </c>
      <c r="S174" s="484">
        <f t="shared" si="39"/>
        <v>0</v>
      </c>
      <c r="T174" s="374">
        <f t="shared" si="40"/>
      </c>
      <c r="U174" s="374">
        <f t="shared" si="29"/>
      </c>
    </row>
    <row r="175" spans="1:21" ht="12.75">
      <c r="A175" s="832"/>
      <c r="B175" s="842"/>
      <c r="C175" s="846"/>
      <c r="D175" s="827"/>
      <c r="E175" s="588" t="e">
        <f t="shared" si="30"/>
        <v>#N/A</v>
      </c>
      <c r="F175" s="831"/>
      <c r="G175" s="831"/>
      <c r="H175" s="831"/>
      <c r="I175" s="481" t="e">
        <f t="shared" si="31"/>
        <v>#N/A</v>
      </c>
      <c r="J175" s="834"/>
      <c r="K175" s="482">
        <f t="shared" si="41"/>
        <v>0</v>
      </c>
      <c r="L175" s="483" t="e">
        <f t="shared" si="32"/>
        <v>#DIV/0!</v>
      </c>
      <c r="M175" s="483" t="str">
        <f t="shared" si="33"/>
        <v>NA</v>
      </c>
      <c r="N175" s="600" t="b">
        <f t="shared" si="34"/>
        <v>0</v>
      </c>
      <c r="O175" s="612">
        <f t="shared" si="35"/>
        <v>0</v>
      </c>
      <c r="P175" s="613" t="e">
        <f t="shared" si="36"/>
        <v>#N/A</v>
      </c>
      <c r="Q175" s="424" t="e">
        <f t="shared" si="37"/>
        <v>#N/A</v>
      </c>
      <c r="R175" s="611" t="e">
        <f t="shared" si="38"/>
        <v>#N/A</v>
      </c>
      <c r="S175" s="484">
        <f t="shared" si="39"/>
        <v>0</v>
      </c>
      <c r="T175" s="374">
        <f t="shared" si="40"/>
      </c>
      <c r="U175" s="374">
        <f t="shared" si="29"/>
      </c>
    </row>
    <row r="176" spans="1:21" ht="12.75">
      <c r="A176" s="832"/>
      <c r="B176" s="842"/>
      <c r="C176" s="827"/>
      <c r="D176" s="827"/>
      <c r="E176" s="588" t="e">
        <f t="shared" si="30"/>
        <v>#N/A</v>
      </c>
      <c r="F176" s="831"/>
      <c r="G176" s="831"/>
      <c r="H176" s="831"/>
      <c r="I176" s="481" t="e">
        <f t="shared" si="31"/>
        <v>#N/A</v>
      </c>
      <c r="J176" s="834"/>
      <c r="K176" s="482">
        <f t="shared" si="41"/>
        <v>0</v>
      </c>
      <c r="L176" s="483" t="e">
        <f t="shared" si="32"/>
        <v>#DIV/0!</v>
      </c>
      <c r="M176" s="483" t="str">
        <f t="shared" si="33"/>
        <v>NA</v>
      </c>
      <c r="N176" s="600" t="b">
        <f t="shared" si="34"/>
        <v>0</v>
      </c>
      <c r="O176" s="612">
        <f t="shared" si="35"/>
        <v>0</v>
      </c>
      <c r="P176" s="613" t="e">
        <f t="shared" si="36"/>
        <v>#N/A</v>
      </c>
      <c r="Q176" s="424" t="e">
        <f t="shared" si="37"/>
        <v>#N/A</v>
      </c>
      <c r="R176" s="611" t="e">
        <f t="shared" si="38"/>
        <v>#N/A</v>
      </c>
      <c r="S176" s="484">
        <f t="shared" si="39"/>
        <v>0</v>
      </c>
      <c r="T176" s="374">
        <f t="shared" si="40"/>
      </c>
      <c r="U176" s="374">
        <f t="shared" si="29"/>
      </c>
    </row>
    <row r="177" spans="1:21" ht="12.75">
      <c r="A177" s="832"/>
      <c r="B177" s="842"/>
      <c r="C177" s="827"/>
      <c r="D177" s="827"/>
      <c r="E177" s="588" t="e">
        <f t="shared" si="30"/>
        <v>#N/A</v>
      </c>
      <c r="F177" s="831"/>
      <c r="G177" s="831"/>
      <c r="H177" s="831"/>
      <c r="I177" s="481" t="e">
        <f t="shared" si="31"/>
        <v>#N/A</v>
      </c>
      <c r="J177" s="834"/>
      <c r="K177" s="482">
        <f t="shared" si="41"/>
        <v>0</v>
      </c>
      <c r="L177" s="483" t="e">
        <f t="shared" si="32"/>
        <v>#DIV/0!</v>
      </c>
      <c r="M177" s="483" t="str">
        <f t="shared" si="33"/>
        <v>NA</v>
      </c>
      <c r="N177" s="600" t="b">
        <f t="shared" si="34"/>
        <v>0</v>
      </c>
      <c r="O177" s="612">
        <f t="shared" si="35"/>
        <v>0</v>
      </c>
      <c r="P177" s="613" t="e">
        <f t="shared" si="36"/>
        <v>#N/A</v>
      </c>
      <c r="Q177" s="424" t="e">
        <f t="shared" si="37"/>
        <v>#N/A</v>
      </c>
      <c r="R177" s="611" t="e">
        <f t="shared" si="38"/>
        <v>#N/A</v>
      </c>
      <c r="S177" s="484">
        <f t="shared" si="39"/>
        <v>0</v>
      </c>
      <c r="T177" s="374">
        <f t="shared" si="40"/>
      </c>
      <c r="U177" s="374">
        <f t="shared" si="29"/>
      </c>
    </row>
    <row r="178" spans="1:21" ht="12.75">
      <c r="A178" s="832"/>
      <c r="B178" s="842"/>
      <c r="C178" s="827"/>
      <c r="D178" s="827"/>
      <c r="E178" s="588" t="e">
        <f t="shared" si="30"/>
        <v>#N/A</v>
      </c>
      <c r="F178" s="831"/>
      <c r="G178" s="831"/>
      <c r="H178" s="831"/>
      <c r="I178" s="481" t="e">
        <f t="shared" si="31"/>
        <v>#N/A</v>
      </c>
      <c r="J178" s="834"/>
      <c r="K178" s="482">
        <f t="shared" si="41"/>
        <v>0</v>
      </c>
      <c r="L178" s="483" t="e">
        <f t="shared" si="32"/>
        <v>#DIV/0!</v>
      </c>
      <c r="M178" s="483" t="str">
        <f t="shared" si="33"/>
        <v>NA</v>
      </c>
      <c r="N178" s="600" t="b">
        <f t="shared" si="34"/>
        <v>0</v>
      </c>
      <c r="O178" s="612">
        <f t="shared" si="35"/>
        <v>0</v>
      </c>
      <c r="P178" s="613" t="e">
        <f t="shared" si="36"/>
        <v>#N/A</v>
      </c>
      <c r="Q178" s="424" t="e">
        <f t="shared" si="37"/>
        <v>#N/A</v>
      </c>
      <c r="R178" s="611" t="e">
        <f t="shared" si="38"/>
        <v>#N/A</v>
      </c>
      <c r="S178" s="484">
        <f t="shared" si="39"/>
        <v>0</v>
      </c>
      <c r="T178" s="374">
        <f t="shared" si="40"/>
      </c>
      <c r="U178" s="374">
        <f t="shared" si="29"/>
      </c>
    </row>
    <row r="179" spans="1:21" ht="12.75">
      <c r="A179" s="832"/>
      <c r="B179" s="842"/>
      <c r="C179" s="827"/>
      <c r="D179" s="827"/>
      <c r="E179" s="588" t="e">
        <f t="shared" si="30"/>
        <v>#N/A</v>
      </c>
      <c r="F179" s="831"/>
      <c r="G179" s="831"/>
      <c r="H179" s="831"/>
      <c r="I179" s="481" t="e">
        <f t="shared" si="31"/>
        <v>#N/A</v>
      </c>
      <c r="J179" s="834"/>
      <c r="K179" s="482">
        <f t="shared" si="41"/>
        <v>0</v>
      </c>
      <c r="L179" s="483" t="e">
        <f t="shared" si="32"/>
        <v>#DIV/0!</v>
      </c>
      <c r="M179" s="483" t="str">
        <f t="shared" si="33"/>
        <v>NA</v>
      </c>
      <c r="N179" s="600" t="b">
        <f t="shared" si="34"/>
        <v>0</v>
      </c>
      <c r="O179" s="612">
        <f t="shared" si="35"/>
        <v>0</v>
      </c>
      <c r="P179" s="613" t="e">
        <f t="shared" si="36"/>
        <v>#N/A</v>
      </c>
      <c r="Q179" s="424" t="e">
        <f t="shared" si="37"/>
        <v>#N/A</v>
      </c>
      <c r="R179" s="611" t="e">
        <f t="shared" si="38"/>
        <v>#N/A</v>
      </c>
      <c r="S179" s="484">
        <f t="shared" si="39"/>
        <v>0</v>
      </c>
      <c r="T179" s="374">
        <f t="shared" si="40"/>
      </c>
      <c r="U179" s="374">
        <f t="shared" si="29"/>
      </c>
    </row>
    <row r="180" spans="1:21" ht="12.75">
      <c r="A180" s="832"/>
      <c r="B180" s="842"/>
      <c r="C180" s="827"/>
      <c r="D180" s="827"/>
      <c r="E180" s="588" t="e">
        <f t="shared" si="30"/>
        <v>#N/A</v>
      </c>
      <c r="F180" s="831"/>
      <c r="G180" s="831"/>
      <c r="H180" s="831"/>
      <c r="I180" s="481" t="e">
        <f t="shared" si="31"/>
        <v>#N/A</v>
      </c>
      <c r="J180" s="834"/>
      <c r="K180" s="482">
        <f t="shared" si="41"/>
        <v>0</v>
      </c>
      <c r="L180" s="483" t="e">
        <f t="shared" si="32"/>
        <v>#DIV/0!</v>
      </c>
      <c r="M180" s="483" t="str">
        <f t="shared" si="33"/>
        <v>NA</v>
      </c>
      <c r="N180" s="600" t="b">
        <f t="shared" si="34"/>
        <v>0</v>
      </c>
      <c r="O180" s="612">
        <f t="shared" si="35"/>
        <v>0</v>
      </c>
      <c r="P180" s="613" t="e">
        <f t="shared" si="36"/>
        <v>#N/A</v>
      </c>
      <c r="Q180" s="424" t="e">
        <f t="shared" si="37"/>
        <v>#N/A</v>
      </c>
      <c r="R180" s="611" t="e">
        <f t="shared" si="38"/>
        <v>#N/A</v>
      </c>
      <c r="S180" s="484">
        <f t="shared" si="39"/>
        <v>0</v>
      </c>
      <c r="T180" s="374">
        <f t="shared" si="40"/>
      </c>
      <c r="U180" s="374">
        <f t="shared" si="29"/>
      </c>
    </row>
    <row r="181" spans="1:21" ht="12.75">
      <c r="A181" s="832"/>
      <c r="B181" s="842"/>
      <c r="C181" s="846"/>
      <c r="D181" s="827"/>
      <c r="E181" s="588" t="e">
        <f t="shared" si="30"/>
        <v>#N/A</v>
      </c>
      <c r="F181" s="831"/>
      <c r="G181" s="831"/>
      <c r="H181" s="831"/>
      <c r="I181" s="481" t="e">
        <f t="shared" si="31"/>
        <v>#N/A</v>
      </c>
      <c r="J181" s="834"/>
      <c r="K181" s="482">
        <f t="shared" si="41"/>
        <v>0</v>
      </c>
      <c r="L181" s="483" t="e">
        <f t="shared" si="32"/>
        <v>#DIV/0!</v>
      </c>
      <c r="M181" s="483" t="str">
        <f t="shared" si="33"/>
        <v>NA</v>
      </c>
      <c r="N181" s="600" t="b">
        <f t="shared" si="34"/>
        <v>0</v>
      </c>
      <c r="O181" s="612">
        <f t="shared" si="35"/>
        <v>0</v>
      </c>
      <c r="P181" s="613" t="e">
        <f t="shared" si="36"/>
        <v>#N/A</v>
      </c>
      <c r="Q181" s="424" t="e">
        <f t="shared" si="37"/>
        <v>#N/A</v>
      </c>
      <c r="R181" s="611" t="e">
        <f t="shared" si="38"/>
        <v>#N/A</v>
      </c>
      <c r="S181" s="484">
        <f t="shared" si="39"/>
        <v>0</v>
      </c>
      <c r="T181" s="374">
        <f t="shared" si="40"/>
      </c>
      <c r="U181" s="374">
        <f t="shared" si="29"/>
      </c>
    </row>
    <row r="182" spans="1:21" ht="12.75">
      <c r="A182" s="832"/>
      <c r="B182" s="842"/>
      <c r="C182" s="827"/>
      <c r="D182" s="827"/>
      <c r="E182" s="588" t="e">
        <f t="shared" si="30"/>
        <v>#N/A</v>
      </c>
      <c r="F182" s="831"/>
      <c r="G182" s="831"/>
      <c r="H182" s="831"/>
      <c r="I182" s="481" t="e">
        <f t="shared" si="31"/>
        <v>#N/A</v>
      </c>
      <c r="J182" s="834"/>
      <c r="K182" s="482">
        <f t="shared" si="41"/>
        <v>0</v>
      </c>
      <c r="L182" s="483" t="e">
        <f t="shared" si="32"/>
        <v>#DIV/0!</v>
      </c>
      <c r="M182" s="483" t="str">
        <f t="shared" si="33"/>
        <v>NA</v>
      </c>
      <c r="N182" s="600" t="b">
        <f t="shared" si="34"/>
        <v>0</v>
      </c>
      <c r="O182" s="612">
        <f t="shared" si="35"/>
        <v>0</v>
      </c>
      <c r="P182" s="613" t="e">
        <f t="shared" si="36"/>
        <v>#N/A</v>
      </c>
      <c r="Q182" s="424" t="e">
        <f t="shared" si="37"/>
        <v>#N/A</v>
      </c>
      <c r="R182" s="611" t="e">
        <f t="shared" si="38"/>
        <v>#N/A</v>
      </c>
      <c r="S182" s="484">
        <f t="shared" si="39"/>
        <v>0</v>
      </c>
      <c r="T182" s="374">
        <f t="shared" si="40"/>
      </c>
      <c r="U182" s="374">
        <f t="shared" si="29"/>
      </c>
    </row>
    <row r="183" spans="1:21" ht="12.75">
      <c r="A183" s="832"/>
      <c r="B183" s="842"/>
      <c r="C183" s="827"/>
      <c r="D183" s="827"/>
      <c r="E183" s="588" t="e">
        <f t="shared" si="30"/>
        <v>#N/A</v>
      </c>
      <c r="F183" s="831"/>
      <c r="G183" s="831"/>
      <c r="H183" s="831"/>
      <c r="I183" s="481" t="e">
        <f t="shared" si="31"/>
        <v>#N/A</v>
      </c>
      <c r="J183" s="834"/>
      <c r="K183" s="482">
        <f t="shared" si="41"/>
        <v>0</v>
      </c>
      <c r="L183" s="483" t="e">
        <f t="shared" si="32"/>
        <v>#DIV/0!</v>
      </c>
      <c r="M183" s="483" t="str">
        <f t="shared" si="33"/>
        <v>NA</v>
      </c>
      <c r="N183" s="600" t="b">
        <f t="shared" si="34"/>
        <v>0</v>
      </c>
      <c r="O183" s="612">
        <f t="shared" si="35"/>
        <v>0</v>
      </c>
      <c r="P183" s="613" t="e">
        <f t="shared" si="36"/>
        <v>#N/A</v>
      </c>
      <c r="Q183" s="424" t="e">
        <f t="shared" si="37"/>
        <v>#N/A</v>
      </c>
      <c r="R183" s="611" t="e">
        <f t="shared" si="38"/>
        <v>#N/A</v>
      </c>
      <c r="S183" s="484">
        <f t="shared" si="39"/>
        <v>0</v>
      </c>
      <c r="T183" s="374">
        <f t="shared" si="40"/>
      </c>
      <c r="U183" s="374">
        <f t="shared" si="29"/>
      </c>
    </row>
    <row r="184" spans="1:21" ht="12.75">
      <c r="A184" s="832"/>
      <c r="B184" s="842"/>
      <c r="C184" s="827"/>
      <c r="D184" s="827"/>
      <c r="E184" s="588" t="e">
        <f t="shared" si="30"/>
        <v>#N/A</v>
      </c>
      <c r="F184" s="831"/>
      <c r="G184" s="831"/>
      <c r="H184" s="831"/>
      <c r="I184" s="481" t="e">
        <f t="shared" si="31"/>
        <v>#N/A</v>
      </c>
      <c r="J184" s="834"/>
      <c r="K184" s="482">
        <f t="shared" si="41"/>
        <v>0</v>
      </c>
      <c r="L184" s="483" t="e">
        <f t="shared" si="32"/>
        <v>#DIV/0!</v>
      </c>
      <c r="M184" s="483" t="str">
        <f t="shared" si="33"/>
        <v>NA</v>
      </c>
      <c r="N184" s="600" t="b">
        <f t="shared" si="34"/>
        <v>0</v>
      </c>
      <c r="O184" s="612">
        <f t="shared" si="35"/>
        <v>0</v>
      </c>
      <c r="P184" s="613" t="e">
        <f t="shared" si="36"/>
        <v>#N/A</v>
      </c>
      <c r="Q184" s="424" t="e">
        <f t="shared" si="37"/>
        <v>#N/A</v>
      </c>
      <c r="R184" s="611" t="e">
        <f t="shared" si="38"/>
        <v>#N/A</v>
      </c>
      <c r="S184" s="484">
        <f t="shared" si="39"/>
        <v>0</v>
      </c>
      <c r="T184" s="374">
        <f t="shared" si="40"/>
      </c>
      <c r="U184" s="374">
        <f t="shared" si="29"/>
      </c>
    </row>
    <row r="185" spans="1:21" ht="12.75">
      <c r="A185" s="832"/>
      <c r="B185" s="842"/>
      <c r="C185" s="827"/>
      <c r="D185" s="827"/>
      <c r="E185" s="588" t="e">
        <f t="shared" si="30"/>
        <v>#N/A</v>
      </c>
      <c r="F185" s="831"/>
      <c r="G185" s="831"/>
      <c r="H185" s="831"/>
      <c r="I185" s="481" t="e">
        <f t="shared" si="31"/>
        <v>#N/A</v>
      </c>
      <c r="J185" s="834"/>
      <c r="K185" s="482">
        <f t="shared" si="41"/>
        <v>0</v>
      </c>
      <c r="L185" s="483" t="e">
        <f t="shared" si="32"/>
        <v>#DIV/0!</v>
      </c>
      <c r="M185" s="483" t="str">
        <f t="shared" si="33"/>
        <v>NA</v>
      </c>
      <c r="N185" s="600" t="b">
        <f t="shared" si="34"/>
        <v>0</v>
      </c>
      <c r="O185" s="612">
        <f t="shared" si="35"/>
        <v>0</v>
      </c>
      <c r="P185" s="613" t="e">
        <f t="shared" si="36"/>
        <v>#N/A</v>
      </c>
      <c r="Q185" s="424" t="e">
        <f t="shared" si="37"/>
        <v>#N/A</v>
      </c>
      <c r="R185" s="611" t="e">
        <f t="shared" si="38"/>
        <v>#N/A</v>
      </c>
      <c r="S185" s="484">
        <f t="shared" si="39"/>
        <v>0</v>
      </c>
      <c r="T185" s="374">
        <f t="shared" si="40"/>
      </c>
      <c r="U185" s="374">
        <f t="shared" si="29"/>
      </c>
    </row>
    <row r="186" spans="1:21" ht="12.75">
      <c r="A186" s="832"/>
      <c r="B186" s="842"/>
      <c r="C186" s="827"/>
      <c r="D186" s="827"/>
      <c r="E186" s="588" t="e">
        <f t="shared" si="30"/>
        <v>#N/A</v>
      </c>
      <c r="F186" s="831"/>
      <c r="G186" s="831"/>
      <c r="H186" s="831"/>
      <c r="I186" s="481" t="e">
        <f t="shared" si="31"/>
        <v>#N/A</v>
      </c>
      <c r="J186" s="834"/>
      <c r="K186" s="482">
        <f t="shared" si="41"/>
        <v>0</v>
      </c>
      <c r="L186" s="483" t="e">
        <f t="shared" si="32"/>
        <v>#DIV/0!</v>
      </c>
      <c r="M186" s="483" t="str">
        <f t="shared" si="33"/>
        <v>NA</v>
      </c>
      <c r="N186" s="600" t="b">
        <f t="shared" si="34"/>
        <v>0</v>
      </c>
      <c r="O186" s="612">
        <f t="shared" si="35"/>
        <v>0</v>
      </c>
      <c r="P186" s="613" t="e">
        <f t="shared" si="36"/>
        <v>#N/A</v>
      </c>
      <c r="Q186" s="424" t="e">
        <f t="shared" si="37"/>
        <v>#N/A</v>
      </c>
      <c r="R186" s="611" t="e">
        <f t="shared" si="38"/>
        <v>#N/A</v>
      </c>
      <c r="S186" s="484">
        <f t="shared" si="39"/>
        <v>0</v>
      </c>
      <c r="T186" s="374">
        <f t="shared" si="40"/>
      </c>
      <c r="U186" s="374">
        <f t="shared" si="29"/>
      </c>
    </row>
    <row r="187" spans="1:21" ht="12.75">
      <c r="A187" s="832"/>
      <c r="B187" s="842"/>
      <c r="C187" s="846"/>
      <c r="D187" s="827"/>
      <c r="E187" s="588" t="e">
        <f t="shared" si="30"/>
        <v>#N/A</v>
      </c>
      <c r="F187" s="831"/>
      <c r="G187" s="831"/>
      <c r="H187" s="831"/>
      <c r="I187" s="481" t="e">
        <f t="shared" si="31"/>
        <v>#N/A</v>
      </c>
      <c r="J187" s="834"/>
      <c r="K187" s="482">
        <f t="shared" si="41"/>
        <v>0</v>
      </c>
      <c r="L187" s="483" t="e">
        <f t="shared" si="32"/>
        <v>#DIV/0!</v>
      </c>
      <c r="M187" s="483" t="str">
        <f t="shared" si="33"/>
        <v>NA</v>
      </c>
      <c r="N187" s="600" t="b">
        <f t="shared" si="34"/>
        <v>0</v>
      </c>
      <c r="O187" s="612">
        <f t="shared" si="35"/>
        <v>0</v>
      </c>
      <c r="P187" s="613" t="e">
        <f t="shared" si="36"/>
        <v>#N/A</v>
      </c>
      <c r="Q187" s="424" t="e">
        <f t="shared" si="37"/>
        <v>#N/A</v>
      </c>
      <c r="R187" s="611" t="e">
        <f t="shared" si="38"/>
        <v>#N/A</v>
      </c>
      <c r="S187" s="484">
        <f t="shared" si="39"/>
        <v>0</v>
      </c>
      <c r="T187" s="374">
        <f t="shared" si="40"/>
      </c>
      <c r="U187" s="374">
        <f t="shared" si="29"/>
      </c>
    </row>
    <row r="188" spans="1:21" ht="12.75">
      <c r="A188" s="832"/>
      <c r="B188" s="842"/>
      <c r="C188" s="827"/>
      <c r="D188" s="827"/>
      <c r="E188" s="588" t="e">
        <f t="shared" si="30"/>
        <v>#N/A</v>
      </c>
      <c r="F188" s="831"/>
      <c r="G188" s="831"/>
      <c r="H188" s="831"/>
      <c r="I188" s="481" t="e">
        <f t="shared" si="31"/>
        <v>#N/A</v>
      </c>
      <c r="J188" s="834"/>
      <c r="K188" s="482">
        <f t="shared" si="41"/>
        <v>0</v>
      </c>
      <c r="L188" s="483" t="e">
        <f t="shared" si="32"/>
        <v>#DIV/0!</v>
      </c>
      <c r="M188" s="483" t="str">
        <f t="shared" si="33"/>
        <v>NA</v>
      </c>
      <c r="N188" s="600" t="b">
        <f t="shared" si="34"/>
        <v>0</v>
      </c>
      <c r="O188" s="612">
        <f t="shared" si="35"/>
        <v>0</v>
      </c>
      <c r="P188" s="613" t="e">
        <f t="shared" si="36"/>
        <v>#N/A</v>
      </c>
      <c r="Q188" s="424" t="e">
        <f t="shared" si="37"/>
        <v>#N/A</v>
      </c>
      <c r="R188" s="611" t="e">
        <f t="shared" si="38"/>
        <v>#N/A</v>
      </c>
      <c r="S188" s="484">
        <f t="shared" si="39"/>
        <v>0</v>
      </c>
      <c r="T188" s="374">
        <f t="shared" si="40"/>
      </c>
      <c r="U188" s="374">
        <f t="shared" si="29"/>
      </c>
    </row>
    <row r="189" spans="1:21" ht="12.75">
      <c r="A189" s="832"/>
      <c r="B189" s="842"/>
      <c r="C189" s="827"/>
      <c r="D189" s="827"/>
      <c r="E189" s="588" t="e">
        <f t="shared" si="30"/>
        <v>#N/A</v>
      </c>
      <c r="F189" s="831"/>
      <c r="G189" s="831"/>
      <c r="H189" s="831"/>
      <c r="I189" s="481" t="e">
        <f t="shared" si="31"/>
        <v>#N/A</v>
      </c>
      <c r="J189" s="834"/>
      <c r="K189" s="482">
        <f t="shared" si="41"/>
        <v>0</v>
      </c>
      <c r="L189" s="483" t="e">
        <f t="shared" si="32"/>
        <v>#DIV/0!</v>
      </c>
      <c r="M189" s="483" t="str">
        <f t="shared" si="33"/>
        <v>NA</v>
      </c>
      <c r="N189" s="600" t="b">
        <f t="shared" si="34"/>
        <v>0</v>
      </c>
      <c r="O189" s="612">
        <f t="shared" si="35"/>
        <v>0</v>
      </c>
      <c r="P189" s="613" t="e">
        <f t="shared" si="36"/>
        <v>#N/A</v>
      </c>
      <c r="Q189" s="424" t="e">
        <f t="shared" si="37"/>
        <v>#N/A</v>
      </c>
      <c r="R189" s="611" t="e">
        <f t="shared" si="38"/>
        <v>#N/A</v>
      </c>
      <c r="S189" s="484">
        <f t="shared" si="39"/>
        <v>0</v>
      </c>
      <c r="T189" s="374">
        <f t="shared" si="40"/>
      </c>
      <c r="U189" s="374">
        <f t="shared" si="29"/>
      </c>
    </row>
    <row r="190" spans="1:21" ht="12.75">
      <c r="A190" s="832"/>
      <c r="B190" s="842"/>
      <c r="C190" s="827"/>
      <c r="D190" s="827"/>
      <c r="E190" s="588" t="e">
        <f t="shared" si="30"/>
        <v>#N/A</v>
      </c>
      <c r="F190" s="831"/>
      <c r="G190" s="831"/>
      <c r="H190" s="831"/>
      <c r="I190" s="481" t="e">
        <f t="shared" si="31"/>
        <v>#N/A</v>
      </c>
      <c r="J190" s="834"/>
      <c r="K190" s="482">
        <f t="shared" si="41"/>
        <v>0</v>
      </c>
      <c r="L190" s="483" t="e">
        <f t="shared" si="32"/>
        <v>#DIV/0!</v>
      </c>
      <c r="M190" s="483" t="str">
        <f t="shared" si="33"/>
        <v>NA</v>
      </c>
      <c r="N190" s="600" t="b">
        <f t="shared" si="34"/>
        <v>0</v>
      </c>
      <c r="O190" s="612">
        <f t="shared" si="35"/>
        <v>0</v>
      </c>
      <c r="P190" s="613" t="e">
        <f t="shared" si="36"/>
        <v>#N/A</v>
      </c>
      <c r="Q190" s="424" t="e">
        <f t="shared" si="37"/>
        <v>#N/A</v>
      </c>
      <c r="R190" s="611" t="e">
        <f t="shared" si="38"/>
        <v>#N/A</v>
      </c>
      <c r="S190" s="484">
        <f t="shared" si="39"/>
        <v>0</v>
      </c>
      <c r="T190" s="374">
        <f t="shared" si="40"/>
      </c>
      <c r="U190" s="374">
        <f t="shared" si="29"/>
      </c>
    </row>
    <row r="191" spans="1:21" ht="12.75">
      <c r="A191" s="832"/>
      <c r="B191" s="842"/>
      <c r="C191" s="827"/>
      <c r="D191" s="827"/>
      <c r="E191" s="588" t="e">
        <f t="shared" si="30"/>
        <v>#N/A</v>
      </c>
      <c r="F191" s="831"/>
      <c r="G191" s="831"/>
      <c r="H191" s="831"/>
      <c r="I191" s="481" t="e">
        <f t="shared" si="31"/>
        <v>#N/A</v>
      </c>
      <c r="J191" s="834"/>
      <c r="K191" s="482">
        <f t="shared" si="41"/>
        <v>0</v>
      </c>
      <c r="L191" s="483" t="e">
        <f t="shared" si="32"/>
        <v>#DIV/0!</v>
      </c>
      <c r="M191" s="483" t="str">
        <f t="shared" si="33"/>
        <v>NA</v>
      </c>
      <c r="N191" s="600" t="b">
        <f t="shared" si="34"/>
        <v>0</v>
      </c>
      <c r="O191" s="612">
        <f t="shared" si="35"/>
        <v>0</v>
      </c>
      <c r="P191" s="613" t="e">
        <f t="shared" si="36"/>
        <v>#N/A</v>
      </c>
      <c r="Q191" s="424" t="e">
        <f t="shared" si="37"/>
        <v>#N/A</v>
      </c>
      <c r="R191" s="611" t="e">
        <f t="shared" si="38"/>
        <v>#N/A</v>
      </c>
      <c r="S191" s="484">
        <f t="shared" si="39"/>
        <v>0</v>
      </c>
      <c r="T191" s="374">
        <f t="shared" si="40"/>
      </c>
      <c r="U191" s="374">
        <f t="shared" si="29"/>
      </c>
    </row>
    <row r="192" spans="1:21" ht="12.75">
      <c r="A192" s="832"/>
      <c r="B192" s="842"/>
      <c r="C192" s="827"/>
      <c r="D192" s="827"/>
      <c r="E192" s="588" t="e">
        <f t="shared" si="30"/>
        <v>#N/A</v>
      </c>
      <c r="F192" s="831"/>
      <c r="G192" s="831"/>
      <c r="H192" s="831"/>
      <c r="I192" s="481" t="e">
        <f t="shared" si="31"/>
        <v>#N/A</v>
      </c>
      <c r="J192" s="834"/>
      <c r="K192" s="482">
        <f t="shared" si="41"/>
        <v>0</v>
      </c>
      <c r="L192" s="483" t="e">
        <f t="shared" si="32"/>
        <v>#DIV/0!</v>
      </c>
      <c r="M192" s="483" t="str">
        <f t="shared" si="33"/>
        <v>NA</v>
      </c>
      <c r="N192" s="600" t="b">
        <f t="shared" si="34"/>
        <v>0</v>
      </c>
      <c r="O192" s="612">
        <f t="shared" si="35"/>
        <v>0</v>
      </c>
      <c r="P192" s="613" t="e">
        <f t="shared" si="36"/>
        <v>#N/A</v>
      </c>
      <c r="Q192" s="424" t="e">
        <f t="shared" si="37"/>
        <v>#N/A</v>
      </c>
      <c r="R192" s="611" t="e">
        <f t="shared" si="38"/>
        <v>#N/A</v>
      </c>
      <c r="S192" s="484">
        <f t="shared" si="39"/>
        <v>0</v>
      </c>
      <c r="T192" s="374">
        <f t="shared" si="40"/>
      </c>
      <c r="U192" s="374">
        <f t="shared" si="29"/>
      </c>
    </row>
    <row r="193" spans="1:21" ht="12.75">
      <c r="A193" s="832"/>
      <c r="B193" s="842"/>
      <c r="C193" s="846"/>
      <c r="D193" s="827"/>
      <c r="E193" s="588" t="e">
        <f t="shared" si="30"/>
        <v>#N/A</v>
      </c>
      <c r="F193" s="831"/>
      <c r="G193" s="831"/>
      <c r="H193" s="831"/>
      <c r="I193" s="481" t="e">
        <f t="shared" si="31"/>
        <v>#N/A</v>
      </c>
      <c r="J193" s="834"/>
      <c r="K193" s="482">
        <f t="shared" si="41"/>
        <v>0</v>
      </c>
      <c r="L193" s="483" t="e">
        <f t="shared" si="32"/>
        <v>#DIV/0!</v>
      </c>
      <c r="M193" s="483" t="str">
        <f t="shared" si="33"/>
        <v>NA</v>
      </c>
      <c r="N193" s="600" t="b">
        <f t="shared" si="34"/>
        <v>0</v>
      </c>
      <c r="O193" s="612">
        <f t="shared" si="35"/>
        <v>0</v>
      </c>
      <c r="P193" s="613" t="e">
        <f t="shared" si="36"/>
        <v>#N/A</v>
      </c>
      <c r="Q193" s="424" t="e">
        <f t="shared" si="37"/>
        <v>#N/A</v>
      </c>
      <c r="R193" s="611" t="e">
        <f t="shared" si="38"/>
        <v>#N/A</v>
      </c>
      <c r="S193" s="484">
        <f t="shared" si="39"/>
        <v>0</v>
      </c>
      <c r="T193" s="374">
        <f t="shared" si="40"/>
      </c>
      <c r="U193" s="374">
        <f t="shared" si="29"/>
      </c>
    </row>
    <row r="194" spans="1:21" ht="12.75">
      <c r="A194" s="832"/>
      <c r="B194" s="842"/>
      <c r="C194" s="827"/>
      <c r="D194" s="827"/>
      <c r="E194" s="588" t="e">
        <f t="shared" si="30"/>
        <v>#N/A</v>
      </c>
      <c r="F194" s="831"/>
      <c r="G194" s="831"/>
      <c r="H194" s="831"/>
      <c r="I194" s="481" t="e">
        <f t="shared" si="31"/>
        <v>#N/A</v>
      </c>
      <c r="J194" s="834"/>
      <c r="K194" s="482">
        <f t="shared" si="41"/>
        <v>0</v>
      </c>
      <c r="L194" s="483" t="e">
        <f t="shared" si="32"/>
        <v>#DIV/0!</v>
      </c>
      <c r="M194" s="483" t="str">
        <f t="shared" si="33"/>
        <v>NA</v>
      </c>
      <c r="N194" s="600" t="b">
        <f t="shared" si="34"/>
        <v>0</v>
      </c>
      <c r="O194" s="612">
        <f t="shared" si="35"/>
        <v>0</v>
      </c>
      <c r="P194" s="613" t="e">
        <f t="shared" si="36"/>
        <v>#N/A</v>
      </c>
      <c r="Q194" s="424" t="e">
        <f t="shared" si="37"/>
        <v>#N/A</v>
      </c>
      <c r="R194" s="611" t="e">
        <f t="shared" si="38"/>
        <v>#N/A</v>
      </c>
      <c r="S194" s="484">
        <f t="shared" si="39"/>
        <v>0</v>
      </c>
      <c r="T194" s="374">
        <f t="shared" si="40"/>
      </c>
      <c r="U194" s="374">
        <f t="shared" si="29"/>
      </c>
    </row>
    <row r="195" spans="1:21" ht="12.75">
      <c r="A195" s="832"/>
      <c r="B195" s="842"/>
      <c r="C195" s="827"/>
      <c r="D195" s="827"/>
      <c r="E195" s="588" t="e">
        <f t="shared" si="30"/>
        <v>#N/A</v>
      </c>
      <c r="F195" s="831"/>
      <c r="G195" s="831"/>
      <c r="H195" s="831"/>
      <c r="I195" s="481" t="e">
        <f t="shared" si="31"/>
        <v>#N/A</v>
      </c>
      <c r="J195" s="834"/>
      <c r="K195" s="482">
        <f t="shared" si="41"/>
        <v>0</v>
      </c>
      <c r="L195" s="483" t="e">
        <f t="shared" si="32"/>
        <v>#DIV/0!</v>
      </c>
      <c r="M195" s="483" t="str">
        <f t="shared" si="33"/>
        <v>NA</v>
      </c>
      <c r="N195" s="600" t="b">
        <f t="shared" si="34"/>
        <v>0</v>
      </c>
      <c r="O195" s="612">
        <f t="shared" si="35"/>
        <v>0</v>
      </c>
      <c r="P195" s="613" t="e">
        <f t="shared" si="36"/>
        <v>#N/A</v>
      </c>
      <c r="Q195" s="424" t="e">
        <f t="shared" si="37"/>
        <v>#N/A</v>
      </c>
      <c r="R195" s="611" t="e">
        <f t="shared" si="38"/>
        <v>#N/A</v>
      </c>
      <c r="S195" s="484">
        <f t="shared" si="39"/>
        <v>0</v>
      </c>
      <c r="T195" s="374">
        <f t="shared" si="40"/>
      </c>
      <c r="U195" s="374">
        <f t="shared" si="29"/>
      </c>
    </row>
    <row r="196" spans="1:21" ht="12.75">
      <c r="A196" s="832"/>
      <c r="B196" s="842"/>
      <c r="C196" s="827"/>
      <c r="D196" s="827"/>
      <c r="E196" s="588" t="e">
        <f t="shared" si="30"/>
        <v>#N/A</v>
      </c>
      <c r="F196" s="831"/>
      <c r="G196" s="831"/>
      <c r="H196" s="831"/>
      <c r="I196" s="481" t="e">
        <f t="shared" si="31"/>
        <v>#N/A</v>
      </c>
      <c r="J196" s="834"/>
      <c r="K196" s="482">
        <f t="shared" si="41"/>
        <v>0</v>
      </c>
      <c r="L196" s="483" t="e">
        <f t="shared" si="32"/>
        <v>#DIV/0!</v>
      </c>
      <c r="M196" s="483" t="str">
        <f t="shared" si="33"/>
        <v>NA</v>
      </c>
      <c r="N196" s="600" t="b">
        <f t="shared" si="34"/>
        <v>0</v>
      </c>
      <c r="O196" s="612">
        <f t="shared" si="35"/>
        <v>0</v>
      </c>
      <c r="P196" s="613" t="e">
        <f t="shared" si="36"/>
        <v>#N/A</v>
      </c>
      <c r="Q196" s="424" t="e">
        <f t="shared" si="37"/>
        <v>#N/A</v>
      </c>
      <c r="R196" s="611" t="e">
        <f t="shared" si="38"/>
        <v>#N/A</v>
      </c>
      <c r="S196" s="484">
        <f t="shared" si="39"/>
        <v>0</v>
      </c>
      <c r="T196" s="374">
        <f t="shared" si="40"/>
      </c>
      <c r="U196" s="374">
        <f t="shared" si="29"/>
      </c>
    </row>
    <row r="197" spans="1:21" ht="12.75">
      <c r="A197" s="832"/>
      <c r="B197" s="842"/>
      <c r="C197" s="827"/>
      <c r="D197" s="827"/>
      <c r="E197" s="588" t="e">
        <f t="shared" si="30"/>
        <v>#N/A</v>
      </c>
      <c r="F197" s="831"/>
      <c r="G197" s="831"/>
      <c r="H197" s="831"/>
      <c r="I197" s="481" t="e">
        <f t="shared" si="31"/>
        <v>#N/A</v>
      </c>
      <c r="J197" s="834"/>
      <c r="K197" s="482">
        <f t="shared" si="41"/>
        <v>0</v>
      </c>
      <c r="L197" s="483" t="e">
        <f t="shared" si="32"/>
        <v>#DIV/0!</v>
      </c>
      <c r="M197" s="483" t="str">
        <f t="shared" si="33"/>
        <v>NA</v>
      </c>
      <c r="N197" s="600" t="b">
        <f t="shared" si="34"/>
        <v>0</v>
      </c>
      <c r="O197" s="612">
        <f t="shared" si="35"/>
        <v>0</v>
      </c>
      <c r="P197" s="613" t="e">
        <f t="shared" si="36"/>
        <v>#N/A</v>
      </c>
      <c r="Q197" s="424" t="e">
        <f t="shared" si="37"/>
        <v>#N/A</v>
      </c>
      <c r="R197" s="611" t="e">
        <f t="shared" si="38"/>
        <v>#N/A</v>
      </c>
      <c r="S197" s="484">
        <f t="shared" si="39"/>
        <v>0</v>
      </c>
      <c r="T197" s="374">
        <f t="shared" si="40"/>
      </c>
      <c r="U197" s="374">
        <f t="shared" si="29"/>
      </c>
    </row>
    <row r="198" spans="1:21" ht="12.75">
      <c r="A198" s="832"/>
      <c r="B198" s="842"/>
      <c r="C198" s="827"/>
      <c r="D198" s="827"/>
      <c r="E198" s="588" t="e">
        <f t="shared" si="30"/>
        <v>#N/A</v>
      </c>
      <c r="F198" s="831"/>
      <c r="G198" s="831"/>
      <c r="H198" s="831"/>
      <c r="I198" s="481" t="e">
        <f t="shared" si="31"/>
        <v>#N/A</v>
      </c>
      <c r="J198" s="834"/>
      <c r="K198" s="482">
        <f t="shared" si="41"/>
        <v>0</v>
      </c>
      <c r="L198" s="483" t="e">
        <f t="shared" si="32"/>
        <v>#DIV/0!</v>
      </c>
      <c r="M198" s="483" t="str">
        <f t="shared" si="33"/>
        <v>NA</v>
      </c>
      <c r="N198" s="600" t="b">
        <f t="shared" si="34"/>
        <v>0</v>
      </c>
      <c r="O198" s="612">
        <f t="shared" si="35"/>
        <v>0</v>
      </c>
      <c r="P198" s="613" t="e">
        <f t="shared" si="36"/>
        <v>#N/A</v>
      </c>
      <c r="Q198" s="424" t="e">
        <f t="shared" si="37"/>
        <v>#N/A</v>
      </c>
      <c r="R198" s="611" t="e">
        <f t="shared" si="38"/>
        <v>#N/A</v>
      </c>
      <c r="S198" s="484">
        <f t="shared" si="39"/>
        <v>0</v>
      </c>
      <c r="T198" s="374">
        <f t="shared" si="40"/>
      </c>
      <c r="U198" s="374">
        <f t="shared" si="29"/>
      </c>
    </row>
    <row r="199" spans="1:21" ht="12.75">
      <c r="A199" s="832"/>
      <c r="B199" s="842"/>
      <c r="C199" s="846"/>
      <c r="D199" s="827"/>
      <c r="E199" s="588" t="e">
        <f t="shared" si="30"/>
        <v>#N/A</v>
      </c>
      <c r="F199" s="831"/>
      <c r="G199" s="831"/>
      <c r="H199" s="831"/>
      <c r="I199" s="481" t="e">
        <f t="shared" si="31"/>
        <v>#N/A</v>
      </c>
      <c r="J199" s="834"/>
      <c r="K199" s="482">
        <f t="shared" si="41"/>
        <v>0</v>
      </c>
      <c r="L199" s="483" t="e">
        <f t="shared" si="32"/>
        <v>#DIV/0!</v>
      </c>
      <c r="M199" s="483" t="str">
        <f t="shared" si="33"/>
        <v>NA</v>
      </c>
      <c r="N199" s="600" t="b">
        <f t="shared" si="34"/>
        <v>0</v>
      </c>
      <c r="O199" s="612">
        <f t="shared" si="35"/>
        <v>0</v>
      </c>
      <c r="P199" s="613" t="e">
        <f t="shared" si="36"/>
        <v>#N/A</v>
      </c>
      <c r="Q199" s="424" t="e">
        <f t="shared" si="37"/>
        <v>#N/A</v>
      </c>
      <c r="R199" s="611" t="e">
        <f t="shared" si="38"/>
        <v>#N/A</v>
      </c>
      <c r="S199" s="484">
        <f t="shared" si="39"/>
        <v>0</v>
      </c>
      <c r="T199" s="374">
        <f t="shared" si="40"/>
      </c>
      <c r="U199" s="374">
        <f t="shared" si="29"/>
      </c>
    </row>
    <row r="200" spans="1:21" ht="12.75">
      <c r="A200" s="832"/>
      <c r="B200" s="842"/>
      <c r="C200" s="827"/>
      <c r="D200" s="827"/>
      <c r="E200" s="588" t="e">
        <f t="shared" si="30"/>
        <v>#N/A</v>
      </c>
      <c r="F200" s="831"/>
      <c r="G200" s="831"/>
      <c r="H200" s="831"/>
      <c r="I200" s="481" t="e">
        <f t="shared" si="31"/>
        <v>#N/A</v>
      </c>
      <c r="J200" s="834"/>
      <c r="K200" s="482">
        <f t="shared" si="41"/>
        <v>0</v>
      </c>
      <c r="L200" s="483" t="e">
        <f t="shared" si="32"/>
        <v>#DIV/0!</v>
      </c>
      <c r="M200" s="483" t="str">
        <f t="shared" si="33"/>
        <v>NA</v>
      </c>
      <c r="N200" s="600" t="b">
        <f t="shared" si="34"/>
        <v>0</v>
      </c>
      <c r="O200" s="612">
        <f t="shared" si="35"/>
        <v>0</v>
      </c>
      <c r="P200" s="613" t="e">
        <f t="shared" si="36"/>
        <v>#N/A</v>
      </c>
      <c r="Q200" s="424" t="e">
        <f t="shared" si="37"/>
        <v>#N/A</v>
      </c>
      <c r="R200" s="611" t="e">
        <f t="shared" si="38"/>
        <v>#N/A</v>
      </c>
      <c r="S200" s="484">
        <f t="shared" si="39"/>
        <v>0</v>
      </c>
      <c r="T200" s="374">
        <f t="shared" si="40"/>
      </c>
      <c r="U200" s="374">
        <f t="shared" si="29"/>
      </c>
    </row>
    <row r="201" spans="1:21" ht="12.75">
      <c r="A201" s="832"/>
      <c r="B201" s="842"/>
      <c r="C201" s="827"/>
      <c r="D201" s="827"/>
      <c r="E201" s="588" t="e">
        <f t="shared" si="30"/>
        <v>#N/A</v>
      </c>
      <c r="F201" s="831"/>
      <c r="G201" s="831"/>
      <c r="H201" s="831"/>
      <c r="I201" s="481" t="e">
        <f t="shared" si="31"/>
        <v>#N/A</v>
      </c>
      <c r="J201" s="834"/>
      <c r="K201" s="482">
        <f t="shared" si="41"/>
        <v>0</v>
      </c>
      <c r="L201" s="483" t="e">
        <f t="shared" si="32"/>
        <v>#DIV/0!</v>
      </c>
      <c r="M201" s="483" t="str">
        <f t="shared" si="33"/>
        <v>NA</v>
      </c>
      <c r="N201" s="600" t="b">
        <f t="shared" si="34"/>
        <v>0</v>
      </c>
      <c r="O201" s="612">
        <f t="shared" si="35"/>
        <v>0</v>
      </c>
      <c r="P201" s="613" t="e">
        <f t="shared" si="36"/>
        <v>#N/A</v>
      </c>
      <c r="Q201" s="424" t="e">
        <f t="shared" si="37"/>
        <v>#N/A</v>
      </c>
      <c r="R201" s="611" t="e">
        <f t="shared" si="38"/>
        <v>#N/A</v>
      </c>
      <c r="S201" s="484">
        <f t="shared" si="39"/>
        <v>0</v>
      </c>
      <c r="T201" s="374">
        <f t="shared" si="40"/>
      </c>
      <c r="U201" s="374">
        <f t="shared" si="29"/>
      </c>
    </row>
    <row r="202" spans="1:21" ht="12.75">
      <c r="A202" s="832"/>
      <c r="B202" s="842"/>
      <c r="C202" s="827"/>
      <c r="D202" s="827"/>
      <c r="E202" s="588" t="e">
        <f t="shared" si="30"/>
        <v>#N/A</v>
      </c>
      <c r="F202" s="831"/>
      <c r="G202" s="831"/>
      <c r="H202" s="831"/>
      <c r="I202" s="481" t="e">
        <f t="shared" si="31"/>
        <v>#N/A</v>
      </c>
      <c r="J202" s="834"/>
      <c r="K202" s="482">
        <f t="shared" si="41"/>
        <v>0</v>
      </c>
      <c r="L202" s="483" t="e">
        <f t="shared" si="32"/>
        <v>#DIV/0!</v>
      </c>
      <c r="M202" s="483" t="str">
        <f t="shared" si="33"/>
        <v>NA</v>
      </c>
      <c r="N202" s="600" t="b">
        <f t="shared" si="34"/>
        <v>0</v>
      </c>
      <c r="O202" s="612">
        <f t="shared" si="35"/>
        <v>0</v>
      </c>
      <c r="P202" s="613" t="e">
        <f t="shared" si="36"/>
        <v>#N/A</v>
      </c>
      <c r="Q202" s="424" t="e">
        <f t="shared" si="37"/>
        <v>#N/A</v>
      </c>
      <c r="R202" s="611" t="e">
        <f t="shared" si="38"/>
        <v>#N/A</v>
      </c>
      <c r="S202" s="484">
        <f t="shared" si="39"/>
        <v>0</v>
      </c>
      <c r="T202" s="374">
        <f t="shared" si="40"/>
      </c>
      <c r="U202" s="374">
        <f t="shared" si="29"/>
      </c>
    </row>
    <row r="203" spans="1:21" ht="12.75">
      <c r="A203" s="832"/>
      <c r="B203" s="842"/>
      <c r="C203" s="827"/>
      <c r="D203" s="827"/>
      <c r="E203" s="588" t="e">
        <f t="shared" si="30"/>
        <v>#N/A</v>
      </c>
      <c r="F203" s="831"/>
      <c r="G203" s="831"/>
      <c r="H203" s="831"/>
      <c r="I203" s="481" t="e">
        <f t="shared" si="31"/>
        <v>#N/A</v>
      </c>
      <c r="J203" s="834"/>
      <c r="K203" s="482">
        <f t="shared" si="41"/>
        <v>0</v>
      </c>
      <c r="L203" s="483" t="e">
        <f t="shared" si="32"/>
        <v>#DIV/0!</v>
      </c>
      <c r="M203" s="483" t="str">
        <f t="shared" si="33"/>
        <v>NA</v>
      </c>
      <c r="N203" s="600" t="b">
        <f t="shared" si="34"/>
        <v>0</v>
      </c>
      <c r="O203" s="612">
        <f t="shared" si="35"/>
        <v>0</v>
      </c>
      <c r="P203" s="613" t="e">
        <f t="shared" si="36"/>
        <v>#N/A</v>
      </c>
      <c r="Q203" s="424" t="e">
        <f t="shared" si="37"/>
        <v>#N/A</v>
      </c>
      <c r="R203" s="611" t="e">
        <f t="shared" si="38"/>
        <v>#N/A</v>
      </c>
      <c r="S203" s="484">
        <f t="shared" si="39"/>
        <v>0</v>
      </c>
      <c r="T203" s="374">
        <f t="shared" si="40"/>
      </c>
      <c r="U203" s="374">
        <f t="shared" si="29"/>
      </c>
    </row>
    <row r="204" spans="1:21" ht="12.75">
      <c r="A204" s="832"/>
      <c r="B204" s="842"/>
      <c r="C204" s="827"/>
      <c r="D204" s="827"/>
      <c r="E204" s="588" t="e">
        <f t="shared" si="30"/>
        <v>#N/A</v>
      </c>
      <c r="F204" s="831"/>
      <c r="G204" s="831"/>
      <c r="H204" s="831"/>
      <c r="I204" s="481" t="e">
        <f t="shared" si="31"/>
        <v>#N/A</v>
      </c>
      <c r="J204" s="834"/>
      <c r="K204" s="482">
        <f t="shared" si="41"/>
        <v>0</v>
      </c>
      <c r="L204" s="483" t="e">
        <f t="shared" si="32"/>
        <v>#DIV/0!</v>
      </c>
      <c r="M204" s="483" t="str">
        <f t="shared" si="33"/>
        <v>NA</v>
      </c>
      <c r="N204" s="600" t="b">
        <f t="shared" si="34"/>
        <v>0</v>
      </c>
      <c r="O204" s="612">
        <f t="shared" si="35"/>
        <v>0</v>
      </c>
      <c r="P204" s="613" t="e">
        <f t="shared" si="36"/>
        <v>#N/A</v>
      </c>
      <c r="Q204" s="424" t="e">
        <f t="shared" si="37"/>
        <v>#N/A</v>
      </c>
      <c r="R204" s="611" t="e">
        <f t="shared" si="38"/>
        <v>#N/A</v>
      </c>
      <c r="S204" s="484">
        <f t="shared" si="39"/>
        <v>0</v>
      </c>
      <c r="T204" s="374">
        <f t="shared" si="40"/>
      </c>
      <c r="U204" s="374">
        <f t="shared" si="29"/>
      </c>
    </row>
    <row r="205" spans="1:21" ht="12.75">
      <c r="A205" s="832"/>
      <c r="B205" s="842"/>
      <c r="C205" s="846"/>
      <c r="D205" s="827"/>
      <c r="E205" s="588" t="e">
        <f t="shared" si="30"/>
        <v>#N/A</v>
      </c>
      <c r="F205" s="831"/>
      <c r="G205" s="831"/>
      <c r="H205" s="831"/>
      <c r="I205" s="481" t="e">
        <f t="shared" si="31"/>
        <v>#N/A</v>
      </c>
      <c r="J205" s="834"/>
      <c r="K205" s="482">
        <f t="shared" si="41"/>
        <v>0</v>
      </c>
      <c r="L205" s="483" t="e">
        <f t="shared" si="32"/>
        <v>#DIV/0!</v>
      </c>
      <c r="M205" s="483" t="str">
        <f t="shared" si="33"/>
        <v>NA</v>
      </c>
      <c r="N205" s="600" t="b">
        <f t="shared" si="34"/>
        <v>0</v>
      </c>
      <c r="O205" s="612">
        <f t="shared" si="35"/>
        <v>0</v>
      </c>
      <c r="P205" s="613" t="e">
        <f t="shared" si="36"/>
        <v>#N/A</v>
      </c>
      <c r="Q205" s="424" t="e">
        <f t="shared" si="37"/>
        <v>#N/A</v>
      </c>
      <c r="R205" s="611" t="e">
        <f t="shared" si="38"/>
        <v>#N/A</v>
      </c>
      <c r="S205" s="484">
        <f t="shared" si="39"/>
        <v>0</v>
      </c>
      <c r="T205" s="374">
        <f t="shared" si="40"/>
      </c>
      <c r="U205" s="374">
        <f t="shared" si="29"/>
      </c>
    </row>
    <row r="206" spans="1:21" ht="12.75">
      <c r="A206" s="832"/>
      <c r="B206" s="842"/>
      <c r="C206" s="827"/>
      <c r="D206" s="827"/>
      <c r="E206" s="588" t="e">
        <f t="shared" si="30"/>
        <v>#N/A</v>
      </c>
      <c r="F206" s="831"/>
      <c r="G206" s="831"/>
      <c r="H206" s="831"/>
      <c r="I206" s="481" t="e">
        <f t="shared" si="31"/>
        <v>#N/A</v>
      </c>
      <c r="J206" s="834"/>
      <c r="K206" s="482">
        <f t="shared" si="41"/>
        <v>0</v>
      </c>
      <c r="L206" s="483" t="e">
        <f t="shared" si="32"/>
        <v>#DIV/0!</v>
      </c>
      <c r="M206" s="483" t="str">
        <f t="shared" si="33"/>
        <v>NA</v>
      </c>
      <c r="N206" s="600" t="b">
        <f t="shared" si="34"/>
        <v>0</v>
      </c>
      <c r="O206" s="612">
        <f t="shared" si="35"/>
        <v>0</v>
      </c>
      <c r="P206" s="613" t="e">
        <f t="shared" si="36"/>
        <v>#N/A</v>
      </c>
      <c r="Q206" s="424" t="e">
        <f t="shared" si="37"/>
        <v>#N/A</v>
      </c>
      <c r="R206" s="611" t="e">
        <f t="shared" si="38"/>
        <v>#N/A</v>
      </c>
      <c r="S206" s="484">
        <f t="shared" si="39"/>
        <v>0</v>
      </c>
      <c r="T206" s="374">
        <f t="shared" si="40"/>
      </c>
      <c r="U206" s="374">
        <f t="shared" si="29"/>
      </c>
    </row>
    <row r="207" spans="1:21" ht="12.75">
      <c r="A207" s="832"/>
      <c r="B207" s="842"/>
      <c r="C207" s="827"/>
      <c r="D207" s="827"/>
      <c r="E207" s="588" t="e">
        <f t="shared" si="30"/>
        <v>#N/A</v>
      </c>
      <c r="F207" s="831"/>
      <c r="G207" s="831"/>
      <c r="H207" s="831"/>
      <c r="I207" s="481" t="e">
        <f t="shared" si="31"/>
        <v>#N/A</v>
      </c>
      <c r="J207" s="834"/>
      <c r="K207" s="482">
        <f t="shared" si="41"/>
        <v>0</v>
      </c>
      <c r="L207" s="483" t="e">
        <f t="shared" si="32"/>
        <v>#DIV/0!</v>
      </c>
      <c r="M207" s="483" t="str">
        <f t="shared" si="33"/>
        <v>NA</v>
      </c>
      <c r="N207" s="600" t="b">
        <f t="shared" si="34"/>
        <v>0</v>
      </c>
      <c r="O207" s="612">
        <f t="shared" si="35"/>
        <v>0</v>
      </c>
      <c r="P207" s="613" t="e">
        <f t="shared" si="36"/>
        <v>#N/A</v>
      </c>
      <c r="Q207" s="424" t="e">
        <f t="shared" si="37"/>
        <v>#N/A</v>
      </c>
      <c r="R207" s="611" t="e">
        <f t="shared" si="38"/>
        <v>#N/A</v>
      </c>
      <c r="S207" s="484">
        <f t="shared" si="39"/>
        <v>0</v>
      </c>
      <c r="T207" s="374">
        <f t="shared" si="40"/>
      </c>
      <c r="U207" s="374">
        <f t="shared" si="29"/>
      </c>
    </row>
    <row r="208" spans="1:21" ht="12.75">
      <c r="A208" s="832"/>
      <c r="B208" s="842"/>
      <c r="C208" s="827"/>
      <c r="D208" s="827"/>
      <c r="E208" s="588" t="e">
        <f t="shared" si="30"/>
        <v>#N/A</v>
      </c>
      <c r="F208" s="831"/>
      <c r="G208" s="831"/>
      <c r="H208" s="831"/>
      <c r="I208" s="481" t="e">
        <f t="shared" si="31"/>
        <v>#N/A</v>
      </c>
      <c r="J208" s="834"/>
      <c r="K208" s="482">
        <f t="shared" si="41"/>
        <v>0</v>
      </c>
      <c r="L208" s="483" t="e">
        <f t="shared" si="32"/>
        <v>#DIV/0!</v>
      </c>
      <c r="M208" s="483" t="str">
        <f t="shared" si="33"/>
        <v>NA</v>
      </c>
      <c r="N208" s="600" t="b">
        <f t="shared" si="34"/>
        <v>0</v>
      </c>
      <c r="O208" s="612">
        <f t="shared" si="35"/>
        <v>0</v>
      </c>
      <c r="P208" s="613" t="e">
        <f t="shared" si="36"/>
        <v>#N/A</v>
      </c>
      <c r="Q208" s="424" t="e">
        <f t="shared" si="37"/>
        <v>#N/A</v>
      </c>
      <c r="R208" s="611" t="e">
        <f t="shared" si="38"/>
        <v>#N/A</v>
      </c>
      <c r="S208" s="484">
        <f t="shared" si="39"/>
        <v>0</v>
      </c>
      <c r="T208" s="374">
        <f t="shared" si="40"/>
      </c>
      <c r="U208" s="374">
        <f t="shared" si="29"/>
      </c>
    </row>
    <row r="209" spans="1:21" ht="12.75">
      <c r="A209" s="832"/>
      <c r="B209" s="842"/>
      <c r="C209" s="827"/>
      <c r="D209" s="827"/>
      <c r="E209" s="588" t="e">
        <f t="shared" si="30"/>
        <v>#N/A</v>
      </c>
      <c r="F209" s="831"/>
      <c r="G209" s="831"/>
      <c r="H209" s="831"/>
      <c r="I209" s="481" t="e">
        <f t="shared" si="31"/>
        <v>#N/A</v>
      </c>
      <c r="J209" s="834"/>
      <c r="K209" s="482">
        <f t="shared" si="41"/>
        <v>0</v>
      </c>
      <c r="L209" s="483" t="e">
        <f t="shared" si="32"/>
        <v>#DIV/0!</v>
      </c>
      <c r="M209" s="483" t="str">
        <f t="shared" si="33"/>
        <v>NA</v>
      </c>
      <c r="N209" s="600" t="b">
        <f t="shared" si="34"/>
        <v>0</v>
      </c>
      <c r="O209" s="612">
        <f t="shared" si="35"/>
        <v>0</v>
      </c>
      <c r="P209" s="613" t="e">
        <f t="shared" si="36"/>
        <v>#N/A</v>
      </c>
      <c r="Q209" s="424" t="e">
        <f t="shared" si="37"/>
        <v>#N/A</v>
      </c>
      <c r="R209" s="611" t="e">
        <f t="shared" si="38"/>
        <v>#N/A</v>
      </c>
      <c r="S209" s="484">
        <f t="shared" si="39"/>
        <v>0</v>
      </c>
      <c r="T209" s="374">
        <f t="shared" si="40"/>
      </c>
      <c r="U209" s="374">
        <f t="shared" si="29"/>
      </c>
    </row>
    <row r="210" spans="1:21" ht="12.75">
      <c r="A210" s="832"/>
      <c r="B210" s="842"/>
      <c r="C210" s="827"/>
      <c r="D210" s="827"/>
      <c r="E210" s="588" t="e">
        <f t="shared" si="30"/>
        <v>#N/A</v>
      </c>
      <c r="F210" s="831"/>
      <c r="G210" s="831"/>
      <c r="H210" s="831"/>
      <c r="I210" s="481" t="e">
        <f t="shared" si="31"/>
        <v>#N/A</v>
      </c>
      <c r="J210" s="834"/>
      <c r="K210" s="482">
        <f t="shared" si="41"/>
        <v>0</v>
      </c>
      <c r="L210" s="483" t="e">
        <f t="shared" si="32"/>
        <v>#DIV/0!</v>
      </c>
      <c r="M210" s="483" t="str">
        <f t="shared" si="33"/>
        <v>NA</v>
      </c>
      <c r="N210" s="600" t="b">
        <f t="shared" si="34"/>
        <v>0</v>
      </c>
      <c r="O210" s="612">
        <f t="shared" si="35"/>
        <v>0</v>
      </c>
      <c r="P210" s="613" t="e">
        <f t="shared" si="36"/>
        <v>#N/A</v>
      </c>
      <c r="Q210" s="424" t="e">
        <f t="shared" si="37"/>
        <v>#N/A</v>
      </c>
      <c r="R210" s="611" t="e">
        <f t="shared" si="38"/>
        <v>#N/A</v>
      </c>
      <c r="S210" s="484">
        <f t="shared" si="39"/>
        <v>0</v>
      </c>
      <c r="T210" s="374">
        <f t="shared" si="40"/>
      </c>
      <c r="U210" s="374">
        <f t="shared" si="29"/>
      </c>
    </row>
    <row r="211" spans="1:21" ht="12.75">
      <c r="A211" s="832"/>
      <c r="B211" s="842"/>
      <c r="C211" s="846"/>
      <c r="D211" s="827"/>
      <c r="E211" s="588" t="e">
        <f t="shared" si="30"/>
        <v>#N/A</v>
      </c>
      <c r="F211" s="831"/>
      <c r="G211" s="831"/>
      <c r="H211" s="831"/>
      <c r="I211" s="481" t="e">
        <f t="shared" si="31"/>
        <v>#N/A</v>
      </c>
      <c r="J211" s="834"/>
      <c r="K211" s="482">
        <f t="shared" si="41"/>
        <v>0</v>
      </c>
      <c r="L211" s="483" t="e">
        <f t="shared" si="32"/>
        <v>#DIV/0!</v>
      </c>
      <c r="M211" s="483" t="str">
        <f t="shared" si="33"/>
        <v>NA</v>
      </c>
      <c r="N211" s="600" t="b">
        <f t="shared" si="34"/>
        <v>0</v>
      </c>
      <c r="O211" s="612">
        <f t="shared" si="35"/>
        <v>0</v>
      </c>
      <c r="P211" s="613" t="e">
        <f t="shared" si="36"/>
        <v>#N/A</v>
      </c>
      <c r="Q211" s="424" t="e">
        <f t="shared" si="37"/>
        <v>#N/A</v>
      </c>
      <c r="R211" s="611" t="e">
        <f t="shared" si="38"/>
        <v>#N/A</v>
      </c>
      <c r="S211" s="484">
        <f t="shared" si="39"/>
        <v>0</v>
      </c>
      <c r="T211" s="374">
        <f t="shared" si="40"/>
      </c>
      <c r="U211" s="374">
        <f t="shared" si="29"/>
      </c>
    </row>
    <row r="212" spans="1:21" ht="12.75">
      <c r="A212" s="832"/>
      <c r="B212" s="842"/>
      <c r="C212" s="827"/>
      <c r="D212" s="827"/>
      <c r="E212" s="588" t="e">
        <f t="shared" si="30"/>
        <v>#N/A</v>
      </c>
      <c r="F212" s="831"/>
      <c r="G212" s="831"/>
      <c r="H212" s="831"/>
      <c r="I212" s="481" t="e">
        <f t="shared" si="31"/>
        <v>#N/A</v>
      </c>
      <c r="J212" s="834"/>
      <c r="K212" s="482">
        <f t="shared" si="41"/>
        <v>0</v>
      </c>
      <c r="L212" s="483" t="e">
        <f t="shared" si="32"/>
        <v>#DIV/0!</v>
      </c>
      <c r="M212" s="483" t="str">
        <f t="shared" si="33"/>
        <v>NA</v>
      </c>
      <c r="N212" s="600" t="b">
        <f t="shared" si="34"/>
        <v>0</v>
      </c>
      <c r="O212" s="612">
        <f t="shared" si="35"/>
        <v>0</v>
      </c>
      <c r="P212" s="613" t="e">
        <f t="shared" si="36"/>
        <v>#N/A</v>
      </c>
      <c r="Q212" s="424" t="e">
        <f t="shared" si="37"/>
        <v>#N/A</v>
      </c>
      <c r="R212" s="611" t="e">
        <f t="shared" si="38"/>
        <v>#N/A</v>
      </c>
      <c r="S212" s="484">
        <f t="shared" si="39"/>
        <v>0</v>
      </c>
      <c r="T212" s="374">
        <f t="shared" si="40"/>
      </c>
      <c r="U212" s="374">
        <f t="shared" si="29"/>
      </c>
    </row>
    <row r="213" spans="1:21" ht="12.75">
      <c r="A213" s="832"/>
      <c r="B213" s="842"/>
      <c r="C213" s="827"/>
      <c r="D213" s="827"/>
      <c r="E213" s="588" t="e">
        <f t="shared" si="30"/>
        <v>#N/A</v>
      </c>
      <c r="F213" s="831"/>
      <c r="G213" s="831"/>
      <c r="H213" s="831"/>
      <c r="I213" s="481" t="e">
        <f t="shared" si="31"/>
        <v>#N/A</v>
      </c>
      <c r="J213" s="834"/>
      <c r="K213" s="482">
        <f t="shared" si="41"/>
        <v>0</v>
      </c>
      <c r="L213" s="483" t="e">
        <f t="shared" si="32"/>
        <v>#DIV/0!</v>
      </c>
      <c r="M213" s="483" t="str">
        <f t="shared" si="33"/>
        <v>NA</v>
      </c>
      <c r="N213" s="600" t="b">
        <f t="shared" si="34"/>
        <v>0</v>
      </c>
      <c r="O213" s="612">
        <f t="shared" si="35"/>
        <v>0</v>
      </c>
      <c r="P213" s="613" t="e">
        <f t="shared" si="36"/>
        <v>#N/A</v>
      </c>
      <c r="Q213" s="424" t="e">
        <f t="shared" si="37"/>
        <v>#N/A</v>
      </c>
      <c r="R213" s="611" t="e">
        <f t="shared" si="38"/>
        <v>#N/A</v>
      </c>
      <c r="S213" s="484">
        <f t="shared" si="39"/>
        <v>0</v>
      </c>
      <c r="T213" s="374">
        <f t="shared" si="40"/>
      </c>
      <c r="U213" s="374">
        <f t="shared" si="29"/>
      </c>
    </row>
    <row r="214" spans="1:21" ht="12.75">
      <c r="A214" s="832"/>
      <c r="B214" s="842"/>
      <c r="C214" s="827"/>
      <c r="D214" s="827"/>
      <c r="E214" s="588" t="e">
        <f t="shared" si="30"/>
        <v>#N/A</v>
      </c>
      <c r="F214" s="831"/>
      <c r="G214" s="831"/>
      <c r="H214" s="831"/>
      <c r="I214" s="481" t="e">
        <f t="shared" si="31"/>
        <v>#N/A</v>
      </c>
      <c r="J214" s="834"/>
      <c r="K214" s="482">
        <f t="shared" si="41"/>
        <v>0</v>
      </c>
      <c r="L214" s="483" t="e">
        <f t="shared" si="32"/>
        <v>#DIV/0!</v>
      </c>
      <c r="M214" s="483" t="str">
        <f t="shared" si="33"/>
        <v>NA</v>
      </c>
      <c r="N214" s="600" t="b">
        <f t="shared" si="34"/>
        <v>0</v>
      </c>
      <c r="O214" s="612">
        <f t="shared" si="35"/>
        <v>0</v>
      </c>
      <c r="P214" s="613" t="e">
        <f t="shared" si="36"/>
        <v>#N/A</v>
      </c>
      <c r="Q214" s="424" t="e">
        <f t="shared" si="37"/>
        <v>#N/A</v>
      </c>
      <c r="R214" s="611" t="e">
        <f t="shared" si="38"/>
        <v>#N/A</v>
      </c>
      <c r="S214" s="484">
        <f t="shared" si="39"/>
        <v>0</v>
      </c>
      <c r="T214" s="374">
        <f t="shared" si="40"/>
      </c>
      <c r="U214" s="374">
        <f t="shared" si="29"/>
      </c>
    </row>
    <row r="215" spans="1:21" ht="12.75">
      <c r="A215" s="832"/>
      <c r="B215" s="842"/>
      <c r="C215" s="827"/>
      <c r="D215" s="827"/>
      <c r="E215" s="588" t="e">
        <f t="shared" si="30"/>
        <v>#N/A</v>
      </c>
      <c r="F215" s="831"/>
      <c r="G215" s="831"/>
      <c r="H215" s="831"/>
      <c r="I215" s="481" t="e">
        <f t="shared" si="31"/>
        <v>#N/A</v>
      </c>
      <c r="J215" s="834"/>
      <c r="K215" s="482">
        <f t="shared" si="41"/>
        <v>0</v>
      </c>
      <c r="L215" s="483" t="e">
        <f t="shared" si="32"/>
        <v>#DIV/0!</v>
      </c>
      <c r="M215" s="483" t="str">
        <f t="shared" si="33"/>
        <v>NA</v>
      </c>
      <c r="N215" s="600" t="b">
        <f t="shared" si="34"/>
        <v>0</v>
      </c>
      <c r="O215" s="612">
        <f t="shared" si="35"/>
        <v>0</v>
      </c>
      <c r="P215" s="613" t="e">
        <f t="shared" si="36"/>
        <v>#N/A</v>
      </c>
      <c r="Q215" s="424" t="e">
        <f t="shared" si="37"/>
        <v>#N/A</v>
      </c>
      <c r="R215" s="611" t="e">
        <f t="shared" si="38"/>
        <v>#N/A</v>
      </c>
      <c r="S215" s="484">
        <f t="shared" si="39"/>
        <v>0</v>
      </c>
      <c r="T215" s="374">
        <f t="shared" si="40"/>
      </c>
      <c r="U215" s="374">
        <f t="shared" si="29"/>
      </c>
    </row>
    <row r="216" spans="1:21" ht="12.75">
      <c r="A216" s="832"/>
      <c r="B216" s="842"/>
      <c r="C216" s="827"/>
      <c r="D216" s="827"/>
      <c r="E216" s="588" t="e">
        <f t="shared" si="30"/>
        <v>#N/A</v>
      </c>
      <c r="F216" s="831"/>
      <c r="G216" s="831"/>
      <c r="H216" s="831"/>
      <c r="I216" s="481" t="e">
        <f t="shared" si="31"/>
        <v>#N/A</v>
      </c>
      <c r="J216" s="834"/>
      <c r="K216" s="482">
        <f t="shared" si="41"/>
        <v>0</v>
      </c>
      <c r="L216" s="483" t="e">
        <f t="shared" si="32"/>
        <v>#DIV/0!</v>
      </c>
      <c r="M216" s="483" t="str">
        <f t="shared" si="33"/>
        <v>NA</v>
      </c>
      <c r="N216" s="600" t="b">
        <f t="shared" si="34"/>
        <v>0</v>
      </c>
      <c r="O216" s="612">
        <f t="shared" si="35"/>
        <v>0</v>
      </c>
      <c r="P216" s="613" t="e">
        <f t="shared" si="36"/>
        <v>#N/A</v>
      </c>
      <c r="Q216" s="424" t="e">
        <f t="shared" si="37"/>
        <v>#N/A</v>
      </c>
      <c r="R216" s="611" t="e">
        <f t="shared" si="38"/>
        <v>#N/A</v>
      </c>
      <c r="S216" s="484">
        <f t="shared" si="39"/>
        <v>0</v>
      </c>
      <c r="T216" s="374">
        <f t="shared" si="40"/>
      </c>
      <c r="U216" s="374">
        <f t="shared" si="29"/>
      </c>
    </row>
    <row r="217" spans="1:21" ht="12.75">
      <c r="A217" s="832"/>
      <c r="B217" s="842"/>
      <c r="C217" s="846"/>
      <c r="D217" s="827"/>
      <c r="E217" s="588" t="e">
        <f t="shared" si="30"/>
        <v>#N/A</v>
      </c>
      <c r="F217" s="831"/>
      <c r="G217" s="831"/>
      <c r="H217" s="831"/>
      <c r="I217" s="481" t="e">
        <f t="shared" si="31"/>
        <v>#N/A</v>
      </c>
      <c r="J217" s="834"/>
      <c r="K217" s="482">
        <f t="shared" si="41"/>
        <v>0</v>
      </c>
      <c r="L217" s="483" t="e">
        <f t="shared" si="32"/>
        <v>#DIV/0!</v>
      </c>
      <c r="M217" s="483" t="str">
        <f t="shared" si="33"/>
        <v>NA</v>
      </c>
      <c r="N217" s="600" t="b">
        <f t="shared" si="34"/>
        <v>0</v>
      </c>
      <c r="O217" s="612">
        <f t="shared" si="35"/>
        <v>0</v>
      </c>
      <c r="P217" s="613" t="e">
        <f t="shared" si="36"/>
        <v>#N/A</v>
      </c>
      <c r="Q217" s="424" t="e">
        <f t="shared" si="37"/>
        <v>#N/A</v>
      </c>
      <c r="R217" s="611" t="e">
        <f t="shared" si="38"/>
        <v>#N/A</v>
      </c>
      <c r="S217" s="484">
        <f t="shared" si="39"/>
        <v>0</v>
      </c>
      <c r="T217" s="374">
        <f t="shared" si="40"/>
      </c>
      <c r="U217" s="374">
        <f t="shared" si="29"/>
      </c>
    </row>
    <row r="218" spans="1:21" ht="12.75">
      <c r="A218" s="832"/>
      <c r="B218" s="842"/>
      <c r="C218" s="827"/>
      <c r="D218" s="827"/>
      <c r="E218" s="588" t="e">
        <f t="shared" si="30"/>
        <v>#N/A</v>
      </c>
      <c r="F218" s="831"/>
      <c r="G218" s="831"/>
      <c r="H218" s="831"/>
      <c r="I218" s="481" t="e">
        <f t="shared" si="31"/>
        <v>#N/A</v>
      </c>
      <c r="J218" s="834"/>
      <c r="K218" s="482">
        <f t="shared" si="41"/>
        <v>0</v>
      </c>
      <c r="L218" s="483" t="e">
        <f t="shared" si="32"/>
        <v>#DIV/0!</v>
      </c>
      <c r="M218" s="483" t="str">
        <f t="shared" si="33"/>
        <v>NA</v>
      </c>
      <c r="N218" s="600" t="b">
        <f t="shared" si="34"/>
        <v>0</v>
      </c>
      <c r="O218" s="612">
        <f t="shared" si="35"/>
        <v>0</v>
      </c>
      <c r="P218" s="613" t="e">
        <f t="shared" si="36"/>
        <v>#N/A</v>
      </c>
      <c r="Q218" s="424" t="e">
        <f t="shared" si="37"/>
        <v>#N/A</v>
      </c>
      <c r="R218" s="611" t="e">
        <f t="shared" si="38"/>
        <v>#N/A</v>
      </c>
      <c r="S218" s="484">
        <f t="shared" si="39"/>
        <v>0</v>
      </c>
      <c r="T218" s="374">
        <f t="shared" si="40"/>
      </c>
      <c r="U218" s="374">
        <f t="shared" si="29"/>
      </c>
    </row>
    <row r="219" spans="1:21" ht="12.75">
      <c r="A219" s="832"/>
      <c r="B219" s="842"/>
      <c r="C219" s="827"/>
      <c r="D219" s="827"/>
      <c r="E219" s="588" t="e">
        <f t="shared" si="30"/>
        <v>#N/A</v>
      </c>
      <c r="F219" s="831"/>
      <c r="G219" s="831"/>
      <c r="H219" s="831"/>
      <c r="I219" s="481" t="e">
        <f t="shared" si="31"/>
        <v>#N/A</v>
      </c>
      <c r="J219" s="834"/>
      <c r="K219" s="482">
        <f t="shared" si="41"/>
        <v>0</v>
      </c>
      <c r="L219" s="483" t="e">
        <f t="shared" si="32"/>
        <v>#DIV/0!</v>
      </c>
      <c r="M219" s="483" t="str">
        <f t="shared" si="33"/>
        <v>NA</v>
      </c>
      <c r="N219" s="600" t="b">
        <f t="shared" si="34"/>
        <v>0</v>
      </c>
      <c r="O219" s="612">
        <f t="shared" si="35"/>
        <v>0</v>
      </c>
      <c r="P219" s="613" t="e">
        <f t="shared" si="36"/>
        <v>#N/A</v>
      </c>
      <c r="Q219" s="424" t="e">
        <f t="shared" si="37"/>
        <v>#N/A</v>
      </c>
      <c r="R219" s="611" t="e">
        <f t="shared" si="38"/>
        <v>#N/A</v>
      </c>
      <c r="S219" s="484">
        <f t="shared" si="39"/>
        <v>0</v>
      </c>
      <c r="T219" s="374">
        <f t="shared" si="40"/>
      </c>
      <c r="U219" s="374">
        <f t="shared" si="29"/>
      </c>
    </row>
    <row r="220" spans="1:21" ht="12.75">
      <c r="A220" s="832"/>
      <c r="B220" s="842"/>
      <c r="C220" s="827"/>
      <c r="D220" s="827"/>
      <c r="E220" s="588" t="e">
        <f t="shared" si="30"/>
        <v>#N/A</v>
      </c>
      <c r="F220" s="831"/>
      <c r="G220" s="831"/>
      <c r="H220" s="831"/>
      <c r="I220" s="481" t="e">
        <f t="shared" si="31"/>
        <v>#N/A</v>
      </c>
      <c r="J220" s="834"/>
      <c r="K220" s="482">
        <f t="shared" si="41"/>
        <v>0</v>
      </c>
      <c r="L220" s="483" t="e">
        <f t="shared" si="32"/>
        <v>#DIV/0!</v>
      </c>
      <c r="M220" s="483" t="str">
        <f t="shared" si="33"/>
        <v>NA</v>
      </c>
      <c r="N220" s="600" t="b">
        <f t="shared" si="34"/>
        <v>0</v>
      </c>
      <c r="O220" s="612">
        <f t="shared" si="35"/>
        <v>0</v>
      </c>
      <c r="P220" s="613" t="e">
        <f t="shared" si="36"/>
        <v>#N/A</v>
      </c>
      <c r="Q220" s="424" t="e">
        <f t="shared" si="37"/>
        <v>#N/A</v>
      </c>
      <c r="R220" s="611" t="e">
        <f t="shared" si="38"/>
        <v>#N/A</v>
      </c>
      <c r="S220" s="484">
        <f t="shared" si="39"/>
        <v>0</v>
      </c>
      <c r="T220" s="374">
        <f t="shared" si="40"/>
      </c>
      <c r="U220" s="374">
        <f aca="true" t="shared" si="42" ref="U220:U283">IF(F220&gt;0,IF(Q220&lt;R220,"Insufficient lighting to meet IESNA footcandle recommendations.",""),"")</f>
      </c>
    </row>
    <row r="221" spans="1:21" ht="12.75">
      <c r="A221" s="832"/>
      <c r="B221" s="842"/>
      <c r="C221" s="827"/>
      <c r="D221" s="827"/>
      <c r="E221" s="588" t="e">
        <f aca="true" t="shared" si="43" ref="E221:E284">LOOKUP(D221,$W$2:$W$17,$AD$2:$AD$17)</f>
        <v>#N/A</v>
      </c>
      <c r="F221" s="831"/>
      <c r="G221" s="831"/>
      <c r="H221" s="831"/>
      <c r="I221" s="481" t="e">
        <f aca="true" t="shared" si="44" ref="I221:I284">VLOOKUP(G221,$I$2:$K$24,3,FALSE)</f>
        <v>#N/A</v>
      </c>
      <c r="J221" s="834"/>
      <c r="K221" s="482">
        <f t="shared" si="41"/>
        <v>0</v>
      </c>
      <c r="L221" s="483" t="e">
        <f aca="true" t="shared" si="45" ref="L221:L284">IF(D221="Exit Signs","convert to kW",K221/(B221*J221))</f>
        <v>#DIV/0!</v>
      </c>
      <c r="M221" s="483" t="str">
        <f aca="true" t="shared" si="46" ref="M221:M284">IF(H221="Yes",IF(D221="Stairs - Active",0.65*L221,IF(D221="Corridor/Transition",0.75*L221,IF(D221="Conference/meeting/multipurpose",1*L221,IF(D221="Community or Computer Room",1*L221,0.9*L221)))),"NA")</f>
        <v>NA</v>
      </c>
      <c r="N221" s="600" t="b">
        <f aca="true" t="shared" si="47" ref="N221:N284">IF($C$15="Space-By-Space (90.1-2007)",LOOKUP(D221,$W$2:$W$17,$X$2:$X$17),IF($C$15="Space-By-Space (90.1-2010)",LOOKUP(D221,$W$2:$W$17,$Y$2:$Y$17),IF($C$15="Building Area (90.1-2007)",LOOKUP(D221,$W$2:$W$17,$Z$2:$Z$17),IF($C$15="Building Area (90.1-2010)",LOOKUP(D221,$W$2:$W$17,$AA$2:$AA$17),IF($C$15="CA Title 24-2013",LOOKUP(D221,$W$2:$W$17,$AB$2:$AB$17))))))</f>
        <v>0</v>
      </c>
      <c r="O221" s="612">
        <f aca="true" t="shared" si="48" ref="O221:O284">IF(D221="Exit Signs",0,IF(B221&gt;0,N221*B221*J221,0))</f>
        <v>0</v>
      </c>
      <c r="P221" s="613" t="e">
        <f aca="true" t="shared" si="49" ref="P221:P284">LOOKUP(G221,$I$2:$I$24,$J$2:$J$24)*LOOKUP(LOOKUP(G221,$I$2:$I$24,$L$2:$L$24),$AF$2:$AF$17,$AJ$2:$AJ$17)*IF(E221="A",LOOKUP(LOOKUP(G221,$I$2:$I$24,$L$2:$L$24),$AF$2:$AF$17,$AG$2:$AG$17),IF(E221="B",LOOKUP(LOOKUP(G221,$I$2:$I$24,$L$2:$L$24),$AF$2:$AF$17,$AH$2:$AH$17),IF(E221="C",LOOKUP(LOOKUP(G221,$I$2:$I$24,$L$2:$L$24),$AF$2:$AF$17,$AI$2:$AI$17))))</f>
        <v>#N/A</v>
      </c>
      <c r="Q221" s="424" t="e">
        <f aca="true" t="shared" si="50" ref="Q221:Q284">P221*K221/S221</f>
        <v>#N/A</v>
      </c>
      <c r="R221" s="611" t="e">
        <f aca="true" t="shared" si="51" ref="R221:R284">LOOKUP(D221,$W$2:$W$17,$AC$2:$AC$17)</f>
        <v>#N/A</v>
      </c>
      <c r="S221" s="484">
        <f aca="true" t="shared" si="52" ref="S221:S284">B221*J221</f>
        <v>0</v>
      </c>
      <c r="T221" s="374">
        <f aca="true" t="shared" si="53" ref="T221:T284">IF(F221&gt;0,IF(Q221&lt;R221,"Insufficient lighting to meet IESNA footcandle recommendations.",""),"")</f>
      </c>
      <c r="U221" s="374">
        <f t="shared" si="42"/>
      </c>
    </row>
    <row r="222" spans="1:21" ht="12.75">
      <c r="A222" s="847"/>
      <c r="B222" s="842"/>
      <c r="C222" s="827"/>
      <c r="D222" s="827"/>
      <c r="E222" s="588" t="e">
        <f t="shared" si="43"/>
        <v>#N/A</v>
      </c>
      <c r="F222" s="831"/>
      <c r="G222" s="831"/>
      <c r="H222" s="831"/>
      <c r="I222" s="481" t="e">
        <f t="shared" si="44"/>
        <v>#N/A</v>
      </c>
      <c r="J222" s="834"/>
      <c r="K222" s="482">
        <f t="shared" si="41"/>
        <v>0</v>
      </c>
      <c r="L222" s="483" t="e">
        <f t="shared" si="45"/>
        <v>#DIV/0!</v>
      </c>
      <c r="M222" s="483" t="str">
        <f t="shared" si="46"/>
        <v>NA</v>
      </c>
      <c r="N222" s="600" t="b">
        <f t="shared" si="47"/>
        <v>0</v>
      </c>
      <c r="O222" s="612">
        <f t="shared" si="48"/>
        <v>0</v>
      </c>
      <c r="P222" s="613" t="e">
        <f t="shared" si="49"/>
        <v>#N/A</v>
      </c>
      <c r="Q222" s="424" t="e">
        <f t="shared" si="50"/>
        <v>#N/A</v>
      </c>
      <c r="R222" s="611" t="e">
        <f t="shared" si="51"/>
        <v>#N/A</v>
      </c>
      <c r="S222" s="484">
        <f t="shared" si="52"/>
        <v>0</v>
      </c>
      <c r="T222" s="374">
        <f t="shared" si="53"/>
      </c>
      <c r="U222" s="374">
        <f t="shared" si="42"/>
      </c>
    </row>
    <row r="223" spans="1:21" ht="12.75">
      <c r="A223" s="845"/>
      <c r="B223" s="842"/>
      <c r="C223" s="827"/>
      <c r="D223" s="827"/>
      <c r="E223" s="588" t="e">
        <f t="shared" si="43"/>
        <v>#N/A</v>
      </c>
      <c r="F223" s="831"/>
      <c r="G223" s="831"/>
      <c r="H223" s="831"/>
      <c r="I223" s="481" t="e">
        <f t="shared" si="44"/>
        <v>#N/A</v>
      </c>
      <c r="J223" s="834"/>
      <c r="K223" s="482">
        <f t="shared" si="41"/>
        <v>0</v>
      </c>
      <c r="L223" s="483" t="e">
        <f t="shared" si="45"/>
        <v>#DIV/0!</v>
      </c>
      <c r="M223" s="483" t="str">
        <f t="shared" si="46"/>
        <v>NA</v>
      </c>
      <c r="N223" s="600" t="b">
        <f t="shared" si="47"/>
        <v>0</v>
      </c>
      <c r="O223" s="612">
        <f t="shared" si="48"/>
        <v>0</v>
      </c>
      <c r="P223" s="613" t="e">
        <f t="shared" si="49"/>
        <v>#N/A</v>
      </c>
      <c r="Q223" s="424" t="e">
        <f t="shared" si="50"/>
        <v>#N/A</v>
      </c>
      <c r="R223" s="611" t="e">
        <f t="shared" si="51"/>
        <v>#N/A</v>
      </c>
      <c r="S223" s="484">
        <f t="shared" si="52"/>
        <v>0</v>
      </c>
      <c r="T223" s="374">
        <f t="shared" si="53"/>
      </c>
      <c r="U223" s="374">
        <f t="shared" si="42"/>
      </c>
    </row>
    <row r="224" spans="1:21" ht="12.75">
      <c r="A224" s="845"/>
      <c r="B224" s="842"/>
      <c r="C224" s="827"/>
      <c r="D224" s="827"/>
      <c r="E224" s="588" t="e">
        <f t="shared" si="43"/>
        <v>#N/A</v>
      </c>
      <c r="F224" s="831"/>
      <c r="G224" s="831"/>
      <c r="H224" s="831"/>
      <c r="I224" s="481" t="e">
        <f t="shared" si="44"/>
        <v>#N/A</v>
      </c>
      <c r="J224" s="834"/>
      <c r="K224" s="482">
        <f t="shared" si="41"/>
        <v>0</v>
      </c>
      <c r="L224" s="483" t="e">
        <f t="shared" si="45"/>
        <v>#DIV/0!</v>
      </c>
      <c r="M224" s="483" t="str">
        <f t="shared" si="46"/>
        <v>NA</v>
      </c>
      <c r="N224" s="600" t="b">
        <f t="shared" si="47"/>
        <v>0</v>
      </c>
      <c r="O224" s="612">
        <f t="shared" si="48"/>
        <v>0</v>
      </c>
      <c r="P224" s="613" t="e">
        <f t="shared" si="49"/>
        <v>#N/A</v>
      </c>
      <c r="Q224" s="424" t="e">
        <f t="shared" si="50"/>
        <v>#N/A</v>
      </c>
      <c r="R224" s="611" t="e">
        <f t="shared" si="51"/>
        <v>#N/A</v>
      </c>
      <c r="S224" s="484">
        <f t="shared" si="52"/>
        <v>0</v>
      </c>
      <c r="T224" s="374">
        <f t="shared" si="53"/>
      </c>
      <c r="U224" s="374">
        <f t="shared" si="42"/>
      </c>
    </row>
    <row r="225" spans="1:21" ht="12.75">
      <c r="A225" s="847"/>
      <c r="B225" s="842"/>
      <c r="C225" s="827"/>
      <c r="D225" s="827"/>
      <c r="E225" s="588" t="e">
        <f t="shared" si="43"/>
        <v>#N/A</v>
      </c>
      <c r="F225" s="831"/>
      <c r="G225" s="831"/>
      <c r="H225" s="831"/>
      <c r="I225" s="481" t="e">
        <f t="shared" si="44"/>
        <v>#N/A</v>
      </c>
      <c r="J225" s="834"/>
      <c r="K225" s="482">
        <f t="shared" si="41"/>
        <v>0</v>
      </c>
      <c r="L225" s="483" t="e">
        <f t="shared" si="45"/>
        <v>#DIV/0!</v>
      </c>
      <c r="M225" s="483" t="str">
        <f t="shared" si="46"/>
        <v>NA</v>
      </c>
      <c r="N225" s="600" t="b">
        <f t="shared" si="47"/>
        <v>0</v>
      </c>
      <c r="O225" s="612">
        <f t="shared" si="48"/>
        <v>0</v>
      </c>
      <c r="P225" s="613" t="e">
        <f t="shared" si="49"/>
        <v>#N/A</v>
      </c>
      <c r="Q225" s="424" t="e">
        <f t="shared" si="50"/>
        <v>#N/A</v>
      </c>
      <c r="R225" s="611" t="e">
        <f t="shared" si="51"/>
        <v>#N/A</v>
      </c>
      <c r="S225" s="484">
        <f t="shared" si="52"/>
        <v>0</v>
      </c>
      <c r="T225" s="374">
        <f t="shared" si="53"/>
      </c>
      <c r="U225" s="374">
        <f t="shared" si="42"/>
      </c>
    </row>
    <row r="226" spans="1:21" ht="12.75">
      <c r="A226" s="832"/>
      <c r="B226" s="842"/>
      <c r="C226" s="827"/>
      <c r="D226" s="827"/>
      <c r="E226" s="588" t="e">
        <f t="shared" si="43"/>
        <v>#N/A</v>
      </c>
      <c r="F226" s="831"/>
      <c r="G226" s="831"/>
      <c r="H226" s="831"/>
      <c r="I226" s="481" t="e">
        <f t="shared" si="44"/>
        <v>#N/A</v>
      </c>
      <c r="J226" s="834"/>
      <c r="K226" s="482">
        <f aca="true" t="shared" si="54" ref="K226:K289">IF(D226="Exit Signs",0,IF(F226&gt;0,F226*I226*J226,0))</f>
        <v>0</v>
      </c>
      <c r="L226" s="483" t="e">
        <f t="shared" si="45"/>
        <v>#DIV/0!</v>
      </c>
      <c r="M226" s="483" t="str">
        <f t="shared" si="46"/>
        <v>NA</v>
      </c>
      <c r="N226" s="600" t="b">
        <f t="shared" si="47"/>
        <v>0</v>
      </c>
      <c r="O226" s="612">
        <f t="shared" si="48"/>
        <v>0</v>
      </c>
      <c r="P226" s="613" t="e">
        <f t="shared" si="49"/>
        <v>#N/A</v>
      </c>
      <c r="Q226" s="424" t="e">
        <f t="shared" si="50"/>
        <v>#N/A</v>
      </c>
      <c r="R226" s="611" t="e">
        <f t="shared" si="51"/>
        <v>#N/A</v>
      </c>
      <c r="S226" s="484">
        <f t="shared" si="52"/>
        <v>0</v>
      </c>
      <c r="T226" s="374">
        <f t="shared" si="53"/>
      </c>
      <c r="U226" s="374">
        <f t="shared" si="42"/>
      </c>
    </row>
    <row r="227" spans="1:21" ht="12.75">
      <c r="A227" s="832"/>
      <c r="B227" s="842"/>
      <c r="C227" s="846"/>
      <c r="D227" s="827"/>
      <c r="E227" s="588" t="e">
        <f t="shared" si="43"/>
        <v>#N/A</v>
      </c>
      <c r="F227" s="831"/>
      <c r="G227" s="831"/>
      <c r="H227" s="831"/>
      <c r="I227" s="481" t="e">
        <f t="shared" si="44"/>
        <v>#N/A</v>
      </c>
      <c r="J227" s="834"/>
      <c r="K227" s="482">
        <f t="shared" si="54"/>
        <v>0</v>
      </c>
      <c r="L227" s="483" t="e">
        <f t="shared" si="45"/>
        <v>#DIV/0!</v>
      </c>
      <c r="M227" s="483" t="str">
        <f t="shared" si="46"/>
        <v>NA</v>
      </c>
      <c r="N227" s="600" t="b">
        <f t="shared" si="47"/>
        <v>0</v>
      </c>
      <c r="O227" s="612">
        <f t="shared" si="48"/>
        <v>0</v>
      </c>
      <c r="P227" s="613" t="e">
        <f t="shared" si="49"/>
        <v>#N/A</v>
      </c>
      <c r="Q227" s="424" t="e">
        <f t="shared" si="50"/>
        <v>#N/A</v>
      </c>
      <c r="R227" s="611" t="e">
        <f t="shared" si="51"/>
        <v>#N/A</v>
      </c>
      <c r="S227" s="484">
        <f t="shared" si="52"/>
        <v>0</v>
      </c>
      <c r="T227" s="374">
        <f t="shared" si="53"/>
      </c>
      <c r="U227" s="374">
        <f t="shared" si="42"/>
      </c>
    </row>
    <row r="228" spans="1:21" ht="12.75">
      <c r="A228" s="832"/>
      <c r="B228" s="842"/>
      <c r="C228" s="827"/>
      <c r="D228" s="827"/>
      <c r="E228" s="588" t="e">
        <f t="shared" si="43"/>
        <v>#N/A</v>
      </c>
      <c r="F228" s="831"/>
      <c r="G228" s="831"/>
      <c r="H228" s="831"/>
      <c r="I228" s="481" t="e">
        <f t="shared" si="44"/>
        <v>#N/A</v>
      </c>
      <c r="J228" s="834"/>
      <c r="K228" s="482">
        <f t="shared" si="54"/>
        <v>0</v>
      </c>
      <c r="L228" s="483" t="e">
        <f t="shared" si="45"/>
        <v>#DIV/0!</v>
      </c>
      <c r="M228" s="483" t="str">
        <f t="shared" si="46"/>
        <v>NA</v>
      </c>
      <c r="N228" s="600" t="b">
        <f t="shared" si="47"/>
        <v>0</v>
      </c>
      <c r="O228" s="612">
        <f t="shared" si="48"/>
        <v>0</v>
      </c>
      <c r="P228" s="613" t="e">
        <f t="shared" si="49"/>
        <v>#N/A</v>
      </c>
      <c r="Q228" s="424" t="e">
        <f t="shared" si="50"/>
        <v>#N/A</v>
      </c>
      <c r="R228" s="611" t="e">
        <f t="shared" si="51"/>
        <v>#N/A</v>
      </c>
      <c r="S228" s="484">
        <f t="shared" si="52"/>
        <v>0</v>
      </c>
      <c r="T228" s="374">
        <f t="shared" si="53"/>
      </c>
      <c r="U228" s="374">
        <f t="shared" si="42"/>
      </c>
    </row>
    <row r="229" spans="1:21" ht="12.75">
      <c r="A229" s="832"/>
      <c r="B229" s="842"/>
      <c r="C229" s="827"/>
      <c r="D229" s="827"/>
      <c r="E229" s="588" t="e">
        <f t="shared" si="43"/>
        <v>#N/A</v>
      </c>
      <c r="F229" s="831"/>
      <c r="G229" s="831"/>
      <c r="H229" s="831"/>
      <c r="I229" s="481" t="e">
        <f t="shared" si="44"/>
        <v>#N/A</v>
      </c>
      <c r="J229" s="834"/>
      <c r="K229" s="482">
        <f t="shared" si="54"/>
        <v>0</v>
      </c>
      <c r="L229" s="483" t="e">
        <f t="shared" si="45"/>
        <v>#DIV/0!</v>
      </c>
      <c r="M229" s="483" t="str">
        <f t="shared" si="46"/>
        <v>NA</v>
      </c>
      <c r="N229" s="600" t="b">
        <f t="shared" si="47"/>
        <v>0</v>
      </c>
      <c r="O229" s="612">
        <f t="shared" si="48"/>
        <v>0</v>
      </c>
      <c r="P229" s="613" t="e">
        <f t="shared" si="49"/>
        <v>#N/A</v>
      </c>
      <c r="Q229" s="424" t="e">
        <f t="shared" si="50"/>
        <v>#N/A</v>
      </c>
      <c r="R229" s="611" t="e">
        <f t="shared" si="51"/>
        <v>#N/A</v>
      </c>
      <c r="S229" s="484">
        <f t="shared" si="52"/>
        <v>0</v>
      </c>
      <c r="T229" s="374">
        <f t="shared" si="53"/>
      </c>
      <c r="U229" s="374">
        <f t="shared" si="42"/>
      </c>
    </row>
    <row r="230" spans="1:21" ht="12.75">
      <c r="A230" s="832"/>
      <c r="B230" s="842"/>
      <c r="C230" s="827"/>
      <c r="D230" s="827"/>
      <c r="E230" s="588" t="e">
        <f t="shared" si="43"/>
        <v>#N/A</v>
      </c>
      <c r="F230" s="831"/>
      <c r="G230" s="831"/>
      <c r="H230" s="831"/>
      <c r="I230" s="481" t="e">
        <f t="shared" si="44"/>
        <v>#N/A</v>
      </c>
      <c r="J230" s="834"/>
      <c r="K230" s="482">
        <f t="shared" si="54"/>
        <v>0</v>
      </c>
      <c r="L230" s="483" t="e">
        <f t="shared" si="45"/>
        <v>#DIV/0!</v>
      </c>
      <c r="M230" s="483" t="str">
        <f t="shared" si="46"/>
        <v>NA</v>
      </c>
      <c r="N230" s="600" t="b">
        <f t="shared" si="47"/>
        <v>0</v>
      </c>
      <c r="O230" s="612">
        <f t="shared" si="48"/>
        <v>0</v>
      </c>
      <c r="P230" s="613" t="e">
        <f t="shared" si="49"/>
        <v>#N/A</v>
      </c>
      <c r="Q230" s="424" t="e">
        <f t="shared" si="50"/>
        <v>#N/A</v>
      </c>
      <c r="R230" s="611" t="e">
        <f t="shared" si="51"/>
        <v>#N/A</v>
      </c>
      <c r="S230" s="484">
        <f t="shared" si="52"/>
        <v>0</v>
      </c>
      <c r="T230" s="374">
        <f t="shared" si="53"/>
      </c>
      <c r="U230" s="374">
        <f t="shared" si="42"/>
      </c>
    </row>
    <row r="231" spans="1:21" ht="12.75">
      <c r="A231" s="832"/>
      <c r="B231" s="842"/>
      <c r="C231" s="827"/>
      <c r="D231" s="827"/>
      <c r="E231" s="588" t="e">
        <f t="shared" si="43"/>
        <v>#N/A</v>
      </c>
      <c r="F231" s="831"/>
      <c r="G231" s="831"/>
      <c r="H231" s="831"/>
      <c r="I231" s="481" t="e">
        <f t="shared" si="44"/>
        <v>#N/A</v>
      </c>
      <c r="J231" s="834"/>
      <c r="K231" s="482">
        <f t="shared" si="54"/>
        <v>0</v>
      </c>
      <c r="L231" s="483" t="e">
        <f t="shared" si="45"/>
        <v>#DIV/0!</v>
      </c>
      <c r="M231" s="483" t="str">
        <f t="shared" si="46"/>
        <v>NA</v>
      </c>
      <c r="N231" s="600" t="b">
        <f t="shared" si="47"/>
        <v>0</v>
      </c>
      <c r="O231" s="612">
        <f t="shared" si="48"/>
        <v>0</v>
      </c>
      <c r="P231" s="613" t="e">
        <f t="shared" si="49"/>
        <v>#N/A</v>
      </c>
      <c r="Q231" s="424" t="e">
        <f t="shared" si="50"/>
        <v>#N/A</v>
      </c>
      <c r="R231" s="611" t="e">
        <f t="shared" si="51"/>
        <v>#N/A</v>
      </c>
      <c r="S231" s="484">
        <f t="shared" si="52"/>
        <v>0</v>
      </c>
      <c r="T231" s="374">
        <f t="shared" si="53"/>
      </c>
      <c r="U231" s="374">
        <f t="shared" si="42"/>
      </c>
    </row>
    <row r="232" spans="1:21" ht="12.75">
      <c r="A232" s="832"/>
      <c r="B232" s="842"/>
      <c r="C232" s="827"/>
      <c r="D232" s="827"/>
      <c r="E232" s="588" t="e">
        <f t="shared" si="43"/>
        <v>#N/A</v>
      </c>
      <c r="F232" s="831"/>
      <c r="G232" s="831"/>
      <c r="H232" s="831"/>
      <c r="I232" s="481" t="e">
        <f t="shared" si="44"/>
        <v>#N/A</v>
      </c>
      <c r="J232" s="834"/>
      <c r="K232" s="482">
        <f t="shared" si="54"/>
        <v>0</v>
      </c>
      <c r="L232" s="483" t="e">
        <f t="shared" si="45"/>
        <v>#DIV/0!</v>
      </c>
      <c r="M232" s="483" t="str">
        <f t="shared" si="46"/>
        <v>NA</v>
      </c>
      <c r="N232" s="600" t="b">
        <f t="shared" si="47"/>
        <v>0</v>
      </c>
      <c r="O232" s="612">
        <f t="shared" si="48"/>
        <v>0</v>
      </c>
      <c r="P232" s="613" t="e">
        <f t="shared" si="49"/>
        <v>#N/A</v>
      </c>
      <c r="Q232" s="424" t="e">
        <f t="shared" si="50"/>
        <v>#N/A</v>
      </c>
      <c r="R232" s="611" t="e">
        <f t="shared" si="51"/>
        <v>#N/A</v>
      </c>
      <c r="S232" s="484">
        <f t="shared" si="52"/>
        <v>0</v>
      </c>
      <c r="T232" s="374">
        <f t="shared" si="53"/>
      </c>
      <c r="U232" s="374">
        <f t="shared" si="42"/>
      </c>
    </row>
    <row r="233" spans="1:21" ht="12.75">
      <c r="A233" s="832"/>
      <c r="B233" s="842"/>
      <c r="C233" s="846"/>
      <c r="D233" s="827"/>
      <c r="E233" s="588" t="e">
        <f t="shared" si="43"/>
        <v>#N/A</v>
      </c>
      <c r="F233" s="831"/>
      <c r="G233" s="831"/>
      <c r="H233" s="831"/>
      <c r="I233" s="481" t="e">
        <f t="shared" si="44"/>
        <v>#N/A</v>
      </c>
      <c r="J233" s="834"/>
      <c r="K233" s="482">
        <f t="shared" si="54"/>
        <v>0</v>
      </c>
      <c r="L233" s="483" t="e">
        <f t="shared" si="45"/>
        <v>#DIV/0!</v>
      </c>
      <c r="M233" s="483" t="str">
        <f t="shared" si="46"/>
        <v>NA</v>
      </c>
      <c r="N233" s="600" t="b">
        <f t="shared" si="47"/>
        <v>0</v>
      </c>
      <c r="O233" s="612">
        <f t="shared" si="48"/>
        <v>0</v>
      </c>
      <c r="P233" s="613" t="e">
        <f t="shared" si="49"/>
        <v>#N/A</v>
      </c>
      <c r="Q233" s="424" t="e">
        <f t="shared" si="50"/>
        <v>#N/A</v>
      </c>
      <c r="R233" s="611" t="e">
        <f t="shared" si="51"/>
        <v>#N/A</v>
      </c>
      <c r="S233" s="484">
        <f t="shared" si="52"/>
        <v>0</v>
      </c>
      <c r="T233" s="374">
        <f t="shared" si="53"/>
      </c>
      <c r="U233" s="374">
        <f t="shared" si="42"/>
      </c>
    </row>
    <row r="234" spans="1:21" ht="12.75">
      <c r="A234" s="832"/>
      <c r="B234" s="842"/>
      <c r="C234" s="827"/>
      <c r="D234" s="827"/>
      <c r="E234" s="588" t="e">
        <f t="shared" si="43"/>
        <v>#N/A</v>
      </c>
      <c r="F234" s="831"/>
      <c r="G234" s="831"/>
      <c r="H234" s="831"/>
      <c r="I234" s="481" t="e">
        <f t="shared" si="44"/>
        <v>#N/A</v>
      </c>
      <c r="J234" s="834"/>
      <c r="K234" s="482">
        <f t="shared" si="54"/>
        <v>0</v>
      </c>
      <c r="L234" s="483" t="e">
        <f t="shared" si="45"/>
        <v>#DIV/0!</v>
      </c>
      <c r="M234" s="483" t="str">
        <f t="shared" si="46"/>
        <v>NA</v>
      </c>
      <c r="N234" s="600" t="b">
        <f t="shared" si="47"/>
        <v>0</v>
      </c>
      <c r="O234" s="612">
        <f t="shared" si="48"/>
        <v>0</v>
      </c>
      <c r="P234" s="613" t="e">
        <f t="shared" si="49"/>
        <v>#N/A</v>
      </c>
      <c r="Q234" s="424" t="e">
        <f t="shared" si="50"/>
        <v>#N/A</v>
      </c>
      <c r="R234" s="611" t="e">
        <f t="shared" si="51"/>
        <v>#N/A</v>
      </c>
      <c r="S234" s="484">
        <f t="shared" si="52"/>
        <v>0</v>
      </c>
      <c r="T234" s="374">
        <f t="shared" si="53"/>
      </c>
      <c r="U234" s="374">
        <f t="shared" si="42"/>
      </c>
    </row>
    <row r="235" spans="1:21" ht="12.75">
      <c r="A235" s="832"/>
      <c r="B235" s="842"/>
      <c r="C235" s="827"/>
      <c r="D235" s="827"/>
      <c r="E235" s="588" t="e">
        <f t="shared" si="43"/>
        <v>#N/A</v>
      </c>
      <c r="F235" s="831"/>
      <c r="G235" s="831"/>
      <c r="H235" s="831"/>
      <c r="I235" s="481" t="e">
        <f t="shared" si="44"/>
        <v>#N/A</v>
      </c>
      <c r="J235" s="834"/>
      <c r="K235" s="482">
        <f t="shared" si="54"/>
        <v>0</v>
      </c>
      <c r="L235" s="483" t="e">
        <f t="shared" si="45"/>
        <v>#DIV/0!</v>
      </c>
      <c r="M235" s="483" t="str">
        <f t="shared" si="46"/>
        <v>NA</v>
      </c>
      <c r="N235" s="600" t="b">
        <f t="shared" si="47"/>
        <v>0</v>
      </c>
      <c r="O235" s="612">
        <f t="shared" si="48"/>
        <v>0</v>
      </c>
      <c r="P235" s="613" t="e">
        <f t="shared" si="49"/>
        <v>#N/A</v>
      </c>
      <c r="Q235" s="424" t="e">
        <f t="shared" si="50"/>
        <v>#N/A</v>
      </c>
      <c r="R235" s="611" t="e">
        <f t="shared" si="51"/>
        <v>#N/A</v>
      </c>
      <c r="S235" s="484">
        <f t="shared" si="52"/>
        <v>0</v>
      </c>
      <c r="T235" s="374">
        <f t="shared" si="53"/>
      </c>
      <c r="U235" s="374">
        <f t="shared" si="42"/>
      </c>
    </row>
    <row r="236" spans="1:21" ht="12.75">
      <c r="A236" s="832"/>
      <c r="B236" s="842"/>
      <c r="C236" s="827"/>
      <c r="D236" s="827"/>
      <c r="E236" s="588" t="e">
        <f t="shared" si="43"/>
        <v>#N/A</v>
      </c>
      <c r="F236" s="831"/>
      <c r="G236" s="831"/>
      <c r="H236" s="831"/>
      <c r="I236" s="481" t="e">
        <f t="shared" si="44"/>
        <v>#N/A</v>
      </c>
      <c r="J236" s="834"/>
      <c r="K236" s="482">
        <f t="shared" si="54"/>
        <v>0</v>
      </c>
      <c r="L236" s="483" t="e">
        <f t="shared" si="45"/>
        <v>#DIV/0!</v>
      </c>
      <c r="M236" s="483" t="str">
        <f t="shared" si="46"/>
        <v>NA</v>
      </c>
      <c r="N236" s="600" t="b">
        <f t="shared" si="47"/>
        <v>0</v>
      </c>
      <c r="O236" s="612">
        <f t="shared" si="48"/>
        <v>0</v>
      </c>
      <c r="P236" s="613" t="e">
        <f t="shared" si="49"/>
        <v>#N/A</v>
      </c>
      <c r="Q236" s="424" t="e">
        <f t="shared" si="50"/>
        <v>#N/A</v>
      </c>
      <c r="R236" s="611" t="e">
        <f t="shared" si="51"/>
        <v>#N/A</v>
      </c>
      <c r="S236" s="484">
        <f t="shared" si="52"/>
        <v>0</v>
      </c>
      <c r="T236" s="374">
        <f t="shared" si="53"/>
      </c>
      <c r="U236" s="374">
        <f t="shared" si="42"/>
      </c>
    </row>
    <row r="237" spans="1:21" ht="12.75">
      <c r="A237" s="832"/>
      <c r="B237" s="842"/>
      <c r="C237" s="827"/>
      <c r="D237" s="827"/>
      <c r="E237" s="588" t="e">
        <f t="shared" si="43"/>
        <v>#N/A</v>
      </c>
      <c r="F237" s="831"/>
      <c r="G237" s="831"/>
      <c r="H237" s="831"/>
      <c r="I237" s="481" t="e">
        <f t="shared" si="44"/>
        <v>#N/A</v>
      </c>
      <c r="J237" s="834"/>
      <c r="K237" s="482">
        <f t="shared" si="54"/>
        <v>0</v>
      </c>
      <c r="L237" s="483" t="e">
        <f t="shared" si="45"/>
        <v>#DIV/0!</v>
      </c>
      <c r="M237" s="483" t="str">
        <f t="shared" si="46"/>
        <v>NA</v>
      </c>
      <c r="N237" s="600" t="b">
        <f t="shared" si="47"/>
        <v>0</v>
      </c>
      <c r="O237" s="612">
        <f t="shared" si="48"/>
        <v>0</v>
      </c>
      <c r="P237" s="613" t="e">
        <f t="shared" si="49"/>
        <v>#N/A</v>
      </c>
      <c r="Q237" s="424" t="e">
        <f t="shared" si="50"/>
        <v>#N/A</v>
      </c>
      <c r="R237" s="611" t="e">
        <f t="shared" si="51"/>
        <v>#N/A</v>
      </c>
      <c r="S237" s="484">
        <f t="shared" si="52"/>
        <v>0</v>
      </c>
      <c r="T237" s="374">
        <f t="shared" si="53"/>
      </c>
      <c r="U237" s="374">
        <f t="shared" si="42"/>
      </c>
    </row>
    <row r="238" spans="1:21" ht="12.75">
      <c r="A238" s="832"/>
      <c r="B238" s="842"/>
      <c r="C238" s="827"/>
      <c r="D238" s="827"/>
      <c r="E238" s="588" t="e">
        <f t="shared" si="43"/>
        <v>#N/A</v>
      </c>
      <c r="F238" s="831"/>
      <c r="G238" s="831"/>
      <c r="H238" s="831"/>
      <c r="I238" s="481" t="e">
        <f t="shared" si="44"/>
        <v>#N/A</v>
      </c>
      <c r="J238" s="834"/>
      <c r="K238" s="482">
        <f t="shared" si="54"/>
        <v>0</v>
      </c>
      <c r="L238" s="483" t="e">
        <f t="shared" si="45"/>
        <v>#DIV/0!</v>
      </c>
      <c r="M238" s="483" t="str">
        <f t="shared" si="46"/>
        <v>NA</v>
      </c>
      <c r="N238" s="600" t="b">
        <f t="shared" si="47"/>
        <v>0</v>
      </c>
      <c r="O238" s="612">
        <f t="shared" si="48"/>
        <v>0</v>
      </c>
      <c r="P238" s="613" t="e">
        <f t="shared" si="49"/>
        <v>#N/A</v>
      </c>
      <c r="Q238" s="424" t="e">
        <f t="shared" si="50"/>
        <v>#N/A</v>
      </c>
      <c r="R238" s="611" t="e">
        <f t="shared" si="51"/>
        <v>#N/A</v>
      </c>
      <c r="S238" s="484">
        <f t="shared" si="52"/>
        <v>0</v>
      </c>
      <c r="T238" s="374">
        <f t="shared" si="53"/>
      </c>
      <c r="U238" s="374">
        <f t="shared" si="42"/>
      </c>
    </row>
    <row r="239" spans="1:21" ht="12.75">
      <c r="A239" s="832"/>
      <c r="B239" s="842"/>
      <c r="C239" s="846"/>
      <c r="D239" s="827"/>
      <c r="E239" s="588" t="e">
        <f t="shared" si="43"/>
        <v>#N/A</v>
      </c>
      <c r="F239" s="831"/>
      <c r="G239" s="831"/>
      <c r="H239" s="831"/>
      <c r="I239" s="481" t="e">
        <f t="shared" si="44"/>
        <v>#N/A</v>
      </c>
      <c r="J239" s="834"/>
      <c r="K239" s="482">
        <f t="shared" si="54"/>
        <v>0</v>
      </c>
      <c r="L239" s="483" t="e">
        <f t="shared" si="45"/>
        <v>#DIV/0!</v>
      </c>
      <c r="M239" s="483" t="str">
        <f t="shared" si="46"/>
        <v>NA</v>
      </c>
      <c r="N239" s="600" t="b">
        <f t="shared" si="47"/>
        <v>0</v>
      </c>
      <c r="O239" s="612">
        <f t="shared" si="48"/>
        <v>0</v>
      </c>
      <c r="P239" s="613" t="e">
        <f t="shared" si="49"/>
        <v>#N/A</v>
      </c>
      <c r="Q239" s="424" t="e">
        <f t="shared" si="50"/>
        <v>#N/A</v>
      </c>
      <c r="R239" s="611" t="e">
        <f t="shared" si="51"/>
        <v>#N/A</v>
      </c>
      <c r="S239" s="484">
        <f t="shared" si="52"/>
        <v>0</v>
      </c>
      <c r="T239" s="374">
        <f t="shared" si="53"/>
      </c>
      <c r="U239" s="374">
        <f t="shared" si="42"/>
      </c>
    </row>
    <row r="240" spans="1:21" ht="12.75">
      <c r="A240" s="832"/>
      <c r="B240" s="842"/>
      <c r="C240" s="827"/>
      <c r="D240" s="827"/>
      <c r="E240" s="588" t="e">
        <f t="shared" si="43"/>
        <v>#N/A</v>
      </c>
      <c r="F240" s="831"/>
      <c r="G240" s="831"/>
      <c r="H240" s="831"/>
      <c r="I240" s="481" t="e">
        <f t="shared" si="44"/>
        <v>#N/A</v>
      </c>
      <c r="J240" s="834"/>
      <c r="K240" s="482">
        <f t="shared" si="54"/>
        <v>0</v>
      </c>
      <c r="L240" s="483" t="e">
        <f t="shared" si="45"/>
        <v>#DIV/0!</v>
      </c>
      <c r="M240" s="483" t="str">
        <f t="shared" si="46"/>
        <v>NA</v>
      </c>
      <c r="N240" s="600" t="b">
        <f t="shared" si="47"/>
        <v>0</v>
      </c>
      <c r="O240" s="612">
        <f t="shared" si="48"/>
        <v>0</v>
      </c>
      <c r="P240" s="613" t="e">
        <f t="shared" si="49"/>
        <v>#N/A</v>
      </c>
      <c r="Q240" s="424" t="e">
        <f t="shared" si="50"/>
        <v>#N/A</v>
      </c>
      <c r="R240" s="611" t="e">
        <f t="shared" si="51"/>
        <v>#N/A</v>
      </c>
      <c r="S240" s="484">
        <f t="shared" si="52"/>
        <v>0</v>
      </c>
      <c r="T240" s="374">
        <f t="shared" si="53"/>
      </c>
      <c r="U240" s="374">
        <f t="shared" si="42"/>
      </c>
    </row>
    <row r="241" spans="1:21" ht="12.75">
      <c r="A241" s="832"/>
      <c r="B241" s="842"/>
      <c r="C241" s="827"/>
      <c r="D241" s="827"/>
      <c r="E241" s="588" t="e">
        <f t="shared" si="43"/>
        <v>#N/A</v>
      </c>
      <c r="F241" s="831"/>
      <c r="G241" s="831"/>
      <c r="H241" s="831"/>
      <c r="I241" s="481" t="e">
        <f t="shared" si="44"/>
        <v>#N/A</v>
      </c>
      <c r="J241" s="834"/>
      <c r="K241" s="482">
        <f t="shared" si="54"/>
        <v>0</v>
      </c>
      <c r="L241" s="483" t="e">
        <f t="shared" si="45"/>
        <v>#DIV/0!</v>
      </c>
      <c r="M241" s="483" t="str">
        <f t="shared" si="46"/>
        <v>NA</v>
      </c>
      <c r="N241" s="600" t="b">
        <f t="shared" si="47"/>
        <v>0</v>
      </c>
      <c r="O241" s="612">
        <f t="shared" si="48"/>
        <v>0</v>
      </c>
      <c r="P241" s="613" t="e">
        <f t="shared" si="49"/>
        <v>#N/A</v>
      </c>
      <c r="Q241" s="424" t="e">
        <f t="shared" si="50"/>
        <v>#N/A</v>
      </c>
      <c r="R241" s="611" t="e">
        <f t="shared" si="51"/>
        <v>#N/A</v>
      </c>
      <c r="S241" s="484">
        <f t="shared" si="52"/>
        <v>0</v>
      </c>
      <c r="T241" s="374">
        <f t="shared" si="53"/>
      </c>
      <c r="U241" s="374">
        <f t="shared" si="42"/>
      </c>
    </row>
    <row r="242" spans="1:21" ht="12.75">
      <c r="A242" s="832"/>
      <c r="B242" s="842"/>
      <c r="C242" s="827"/>
      <c r="D242" s="827"/>
      <c r="E242" s="588" t="e">
        <f t="shared" si="43"/>
        <v>#N/A</v>
      </c>
      <c r="F242" s="831"/>
      <c r="G242" s="831"/>
      <c r="H242" s="831"/>
      <c r="I242" s="481" t="e">
        <f t="shared" si="44"/>
        <v>#N/A</v>
      </c>
      <c r="J242" s="834"/>
      <c r="K242" s="482">
        <f t="shared" si="54"/>
        <v>0</v>
      </c>
      <c r="L242" s="483" t="e">
        <f t="shared" si="45"/>
        <v>#DIV/0!</v>
      </c>
      <c r="M242" s="483" t="str">
        <f t="shared" si="46"/>
        <v>NA</v>
      </c>
      <c r="N242" s="600" t="b">
        <f t="shared" si="47"/>
        <v>0</v>
      </c>
      <c r="O242" s="612">
        <f t="shared" si="48"/>
        <v>0</v>
      </c>
      <c r="P242" s="613" t="e">
        <f t="shared" si="49"/>
        <v>#N/A</v>
      </c>
      <c r="Q242" s="424" t="e">
        <f t="shared" si="50"/>
        <v>#N/A</v>
      </c>
      <c r="R242" s="611" t="e">
        <f t="shared" si="51"/>
        <v>#N/A</v>
      </c>
      <c r="S242" s="484">
        <f t="shared" si="52"/>
        <v>0</v>
      </c>
      <c r="T242" s="374">
        <f t="shared" si="53"/>
      </c>
      <c r="U242" s="374">
        <f t="shared" si="42"/>
      </c>
    </row>
    <row r="243" spans="1:21" ht="12.75">
      <c r="A243" s="832"/>
      <c r="B243" s="842"/>
      <c r="C243" s="827"/>
      <c r="D243" s="827"/>
      <c r="E243" s="588" t="e">
        <f t="shared" si="43"/>
        <v>#N/A</v>
      </c>
      <c r="F243" s="831"/>
      <c r="G243" s="831"/>
      <c r="H243" s="831"/>
      <c r="I243" s="481" t="e">
        <f t="shared" si="44"/>
        <v>#N/A</v>
      </c>
      <c r="J243" s="834"/>
      <c r="K243" s="482">
        <f t="shared" si="54"/>
        <v>0</v>
      </c>
      <c r="L243" s="483" t="e">
        <f t="shared" si="45"/>
        <v>#DIV/0!</v>
      </c>
      <c r="M243" s="483" t="str">
        <f t="shared" si="46"/>
        <v>NA</v>
      </c>
      <c r="N243" s="600" t="b">
        <f t="shared" si="47"/>
        <v>0</v>
      </c>
      <c r="O243" s="612">
        <f t="shared" si="48"/>
        <v>0</v>
      </c>
      <c r="P243" s="613" t="e">
        <f t="shared" si="49"/>
        <v>#N/A</v>
      </c>
      <c r="Q243" s="424" t="e">
        <f t="shared" si="50"/>
        <v>#N/A</v>
      </c>
      <c r="R243" s="611" t="e">
        <f t="shared" si="51"/>
        <v>#N/A</v>
      </c>
      <c r="S243" s="484">
        <f t="shared" si="52"/>
        <v>0</v>
      </c>
      <c r="T243" s="374">
        <f t="shared" si="53"/>
      </c>
      <c r="U243" s="374">
        <f t="shared" si="42"/>
      </c>
    </row>
    <row r="244" spans="1:21" ht="12.75">
      <c r="A244" s="832"/>
      <c r="B244" s="842"/>
      <c r="C244" s="827"/>
      <c r="D244" s="827"/>
      <c r="E244" s="588" t="e">
        <f t="shared" si="43"/>
        <v>#N/A</v>
      </c>
      <c r="F244" s="831"/>
      <c r="G244" s="831"/>
      <c r="H244" s="831"/>
      <c r="I244" s="481" t="e">
        <f t="shared" si="44"/>
        <v>#N/A</v>
      </c>
      <c r="J244" s="834"/>
      <c r="K244" s="482">
        <f t="shared" si="54"/>
        <v>0</v>
      </c>
      <c r="L244" s="483" t="e">
        <f t="shared" si="45"/>
        <v>#DIV/0!</v>
      </c>
      <c r="M244" s="483" t="str">
        <f t="shared" si="46"/>
        <v>NA</v>
      </c>
      <c r="N244" s="600" t="b">
        <f t="shared" si="47"/>
        <v>0</v>
      </c>
      <c r="O244" s="612">
        <f t="shared" si="48"/>
        <v>0</v>
      </c>
      <c r="P244" s="613" t="e">
        <f t="shared" si="49"/>
        <v>#N/A</v>
      </c>
      <c r="Q244" s="424" t="e">
        <f t="shared" si="50"/>
        <v>#N/A</v>
      </c>
      <c r="R244" s="611" t="e">
        <f t="shared" si="51"/>
        <v>#N/A</v>
      </c>
      <c r="S244" s="484">
        <f t="shared" si="52"/>
        <v>0</v>
      </c>
      <c r="T244" s="374">
        <f t="shared" si="53"/>
      </c>
      <c r="U244" s="374">
        <f t="shared" si="42"/>
      </c>
    </row>
    <row r="245" spans="1:21" ht="12.75">
      <c r="A245" s="832"/>
      <c r="B245" s="842"/>
      <c r="C245" s="846"/>
      <c r="D245" s="827"/>
      <c r="E245" s="588" t="e">
        <f t="shared" si="43"/>
        <v>#N/A</v>
      </c>
      <c r="F245" s="831"/>
      <c r="G245" s="831"/>
      <c r="H245" s="831"/>
      <c r="I245" s="481" t="e">
        <f t="shared" si="44"/>
        <v>#N/A</v>
      </c>
      <c r="J245" s="834"/>
      <c r="K245" s="482">
        <f t="shared" si="54"/>
        <v>0</v>
      </c>
      <c r="L245" s="483" t="e">
        <f t="shared" si="45"/>
        <v>#DIV/0!</v>
      </c>
      <c r="M245" s="483" t="str">
        <f t="shared" si="46"/>
        <v>NA</v>
      </c>
      <c r="N245" s="600" t="b">
        <f t="shared" si="47"/>
        <v>0</v>
      </c>
      <c r="O245" s="612">
        <f t="shared" si="48"/>
        <v>0</v>
      </c>
      <c r="P245" s="613" t="e">
        <f t="shared" si="49"/>
        <v>#N/A</v>
      </c>
      <c r="Q245" s="424" t="e">
        <f t="shared" si="50"/>
        <v>#N/A</v>
      </c>
      <c r="R245" s="611" t="e">
        <f t="shared" si="51"/>
        <v>#N/A</v>
      </c>
      <c r="S245" s="484">
        <f t="shared" si="52"/>
        <v>0</v>
      </c>
      <c r="T245" s="374">
        <f t="shared" si="53"/>
      </c>
      <c r="U245" s="374">
        <f t="shared" si="42"/>
      </c>
    </row>
    <row r="246" spans="1:21" ht="12.75">
      <c r="A246" s="832"/>
      <c r="B246" s="842"/>
      <c r="C246" s="827"/>
      <c r="D246" s="827"/>
      <c r="E246" s="588" t="e">
        <f t="shared" si="43"/>
        <v>#N/A</v>
      </c>
      <c r="F246" s="831"/>
      <c r="G246" s="831"/>
      <c r="H246" s="831"/>
      <c r="I246" s="481" t="e">
        <f t="shared" si="44"/>
        <v>#N/A</v>
      </c>
      <c r="J246" s="834"/>
      <c r="K246" s="482">
        <f t="shared" si="54"/>
        <v>0</v>
      </c>
      <c r="L246" s="483" t="e">
        <f t="shared" si="45"/>
        <v>#DIV/0!</v>
      </c>
      <c r="M246" s="483" t="str">
        <f t="shared" si="46"/>
        <v>NA</v>
      </c>
      <c r="N246" s="600" t="b">
        <f t="shared" si="47"/>
        <v>0</v>
      </c>
      <c r="O246" s="612">
        <f t="shared" si="48"/>
        <v>0</v>
      </c>
      <c r="P246" s="613" t="e">
        <f t="shared" si="49"/>
        <v>#N/A</v>
      </c>
      <c r="Q246" s="424" t="e">
        <f t="shared" si="50"/>
        <v>#N/A</v>
      </c>
      <c r="R246" s="611" t="e">
        <f t="shared" si="51"/>
        <v>#N/A</v>
      </c>
      <c r="S246" s="484">
        <f t="shared" si="52"/>
        <v>0</v>
      </c>
      <c r="T246" s="374">
        <f t="shared" si="53"/>
      </c>
      <c r="U246" s="374">
        <f t="shared" si="42"/>
      </c>
    </row>
    <row r="247" spans="1:21" ht="12.75">
      <c r="A247" s="832"/>
      <c r="B247" s="842"/>
      <c r="C247" s="827"/>
      <c r="D247" s="827"/>
      <c r="E247" s="588" t="e">
        <f t="shared" si="43"/>
        <v>#N/A</v>
      </c>
      <c r="F247" s="831"/>
      <c r="G247" s="831"/>
      <c r="H247" s="831"/>
      <c r="I247" s="481" t="e">
        <f t="shared" si="44"/>
        <v>#N/A</v>
      </c>
      <c r="J247" s="834"/>
      <c r="K247" s="482">
        <f t="shared" si="54"/>
        <v>0</v>
      </c>
      <c r="L247" s="483" t="e">
        <f t="shared" si="45"/>
        <v>#DIV/0!</v>
      </c>
      <c r="M247" s="483" t="str">
        <f t="shared" si="46"/>
        <v>NA</v>
      </c>
      <c r="N247" s="600" t="b">
        <f t="shared" si="47"/>
        <v>0</v>
      </c>
      <c r="O247" s="612">
        <f t="shared" si="48"/>
        <v>0</v>
      </c>
      <c r="P247" s="613" t="e">
        <f t="shared" si="49"/>
        <v>#N/A</v>
      </c>
      <c r="Q247" s="424" t="e">
        <f t="shared" si="50"/>
        <v>#N/A</v>
      </c>
      <c r="R247" s="611" t="e">
        <f t="shared" si="51"/>
        <v>#N/A</v>
      </c>
      <c r="S247" s="484">
        <f t="shared" si="52"/>
        <v>0</v>
      </c>
      <c r="T247" s="374">
        <f t="shared" si="53"/>
      </c>
      <c r="U247" s="374">
        <f t="shared" si="42"/>
      </c>
    </row>
    <row r="248" spans="1:21" ht="12.75">
      <c r="A248" s="832"/>
      <c r="B248" s="842"/>
      <c r="C248" s="827"/>
      <c r="D248" s="827"/>
      <c r="E248" s="588" t="e">
        <f t="shared" si="43"/>
        <v>#N/A</v>
      </c>
      <c r="F248" s="831"/>
      <c r="G248" s="831"/>
      <c r="H248" s="831"/>
      <c r="I248" s="481" t="e">
        <f t="shared" si="44"/>
        <v>#N/A</v>
      </c>
      <c r="J248" s="834"/>
      <c r="K248" s="482">
        <f t="shared" si="54"/>
        <v>0</v>
      </c>
      <c r="L248" s="483" t="e">
        <f t="shared" si="45"/>
        <v>#DIV/0!</v>
      </c>
      <c r="M248" s="483" t="str">
        <f t="shared" si="46"/>
        <v>NA</v>
      </c>
      <c r="N248" s="600" t="b">
        <f t="shared" si="47"/>
        <v>0</v>
      </c>
      <c r="O248" s="612">
        <f t="shared" si="48"/>
        <v>0</v>
      </c>
      <c r="P248" s="613" t="e">
        <f t="shared" si="49"/>
        <v>#N/A</v>
      </c>
      <c r="Q248" s="424" t="e">
        <f t="shared" si="50"/>
        <v>#N/A</v>
      </c>
      <c r="R248" s="611" t="e">
        <f t="shared" si="51"/>
        <v>#N/A</v>
      </c>
      <c r="S248" s="484">
        <f t="shared" si="52"/>
        <v>0</v>
      </c>
      <c r="T248" s="374">
        <f t="shared" si="53"/>
      </c>
      <c r="U248" s="374">
        <f t="shared" si="42"/>
      </c>
    </row>
    <row r="249" spans="1:21" ht="12.75">
      <c r="A249" s="832"/>
      <c r="B249" s="842"/>
      <c r="C249" s="827"/>
      <c r="D249" s="827"/>
      <c r="E249" s="588" t="e">
        <f t="shared" si="43"/>
        <v>#N/A</v>
      </c>
      <c r="F249" s="831"/>
      <c r="G249" s="831"/>
      <c r="H249" s="831"/>
      <c r="I249" s="481" t="e">
        <f t="shared" si="44"/>
        <v>#N/A</v>
      </c>
      <c r="J249" s="834"/>
      <c r="K249" s="482">
        <f t="shared" si="54"/>
        <v>0</v>
      </c>
      <c r="L249" s="483" t="e">
        <f t="shared" si="45"/>
        <v>#DIV/0!</v>
      </c>
      <c r="M249" s="483" t="str">
        <f t="shared" si="46"/>
        <v>NA</v>
      </c>
      <c r="N249" s="600" t="b">
        <f t="shared" si="47"/>
        <v>0</v>
      </c>
      <c r="O249" s="612">
        <f t="shared" si="48"/>
        <v>0</v>
      </c>
      <c r="P249" s="613" t="e">
        <f t="shared" si="49"/>
        <v>#N/A</v>
      </c>
      <c r="Q249" s="424" t="e">
        <f t="shared" si="50"/>
        <v>#N/A</v>
      </c>
      <c r="R249" s="611" t="e">
        <f t="shared" si="51"/>
        <v>#N/A</v>
      </c>
      <c r="S249" s="484">
        <f t="shared" si="52"/>
        <v>0</v>
      </c>
      <c r="T249" s="374">
        <f t="shared" si="53"/>
      </c>
      <c r="U249" s="374">
        <f t="shared" si="42"/>
      </c>
    </row>
    <row r="250" spans="1:21" ht="12.75">
      <c r="A250" s="832"/>
      <c r="B250" s="842"/>
      <c r="C250" s="827"/>
      <c r="D250" s="827"/>
      <c r="E250" s="588" t="e">
        <f t="shared" si="43"/>
        <v>#N/A</v>
      </c>
      <c r="F250" s="831"/>
      <c r="G250" s="831"/>
      <c r="H250" s="831"/>
      <c r="I250" s="481" t="e">
        <f t="shared" si="44"/>
        <v>#N/A</v>
      </c>
      <c r="J250" s="834"/>
      <c r="K250" s="482">
        <f t="shared" si="54"/>
        <v>0</v>
      </c>
      <c r="L250" s="483" t="e">
        <f t="shared" si="45"/>
        <v>#DIV/0!</v>
      </c>
      <c r="M250" s="483" t="str">
        <f t="shared" si="46"/>
        <v>NA</v>
      </c>
      <c r="N250" s="600" t="b">
        <f t="shared" si="47"/>
        <v>0</v>
      </c>
      <c r="O250" s="612">
        <f t="shared" si="48"/>
        <v>0</v>
      </c>
      <c r="P250" s="613" t="e">
        <f t="shared" si="49"/>
        <v>#N/A</v>
      </c>
      <c r="Q250" s="424" t="e">
        <f t="shared" si="50"/>
        <v>#N/A</v>
      </c>
      <c r="R250" s="611" t="e">
        <f t="shared" si="51"/>
        <v>#N/A</v>
      </c>
      <c r="S250" s="484">
        <f t="shared" si="52"/>
        <v>0</v>
      </c>
      <c r="T250" s="374">
        <f t="shared" si="53"/>
      </c>
      <c r="U250" s="374">
        <f t="shared" si="42"/>
      </c>
    </row>
    <row r="251" spans="1:21" ht="12.75">
      <c r="A251" s="832"/>
      <c r="B251" s="842"/>
      <c r="C251" s="846"/>
      <c r="D251" s="827"/>
      <c r="E251" s="588" t="e">
        <f t="shared" si="43"/>
        <v>#N/A</v>
      </c>
      <c r="F251" s="831"/>
      <c r="G251" s="831"/>
      <c r="H251" s="831"/>
      <c r="I251" s="481" t="e">
        <f t="shared" si="44"/>
        <v>#N/A</v>
      </c>
      <c r="J251" s="834"/>
      <c r="K251" s="482">
        <f t="shared" si="54"/>
        <v>0</v>
      </c>
      <c r="L251" s="483" t="e">
        <f t="shared" si="45"/>
        <v>#DIV/0!</v>
      </c>
      <c r="M251" s="483" t="str">
        <f t="shared" si="46"/>
        <v>NA</v>
      </c>
      <c r="N251" s="600" t="b">
        <f t="shared" si="47"/>
        <v>0</v>
      </c>
      <c r="O251" s="612">
        <f t="shared" si="48"/>
        <v>0</v>
      </c>
      <c r="P251" s="613" t="e">
        <f t="shared" si="49"/>
        <v>#N/A</v>
      </c>
      <c r="Q251" s="424" t="e">
        <f t="shared" si="50"/>
        <v>#N/A</v>
      </c>
      <c r="R251" s="611" t="e">
        <f t="shared" si="51"/>
        <v>#N/A</v>
      </c>
      <c r="S251" s="484">
        <f t="shared" si="52"/>
        <v>0</v>
      </c>
      <c r="T251" s="374">
        <f t="shared" si="53"/>
      </c>
      <c r="U251" s="374">
        <f t="shared" si="42"/>
      </c>
    </row>
    <row r="252" spans="1:21" ht="12.75">
      <c r="A252" s="832"/>
      <c r="B252" s="842"/>
      <c r="C252" s="827"/>
      <c r="D252" s="827"/>
      <c r="E252" s="588" t="e">
        <f t="shared" si="43"/>
        <v>#N/A</v>
      </c>
      <c r="F252" s="831"/>
      <c r="G252" s="831"/>
      <c r="H252" s="831"/>
      <c r="I252" s="481" t="e">
        <f t="shared" si="44"/>
        <v>#N/A</v>
      </c>
      <c r="J252" s="834"/>
      <c r="K252" s="482">
        <f t="shared" si="54"/>
        <v>0</v>
      </c>
      <c r="L252" s="483" t="e">
        <f t="shared" si="45"/>
        <v>#DIV/0!</v>
      </c>
      <c r="M252" s="483" t="str">
        <f t="shared" si="46"/>
        <v>NA</v>
      </c>
      <c r="N252" s="600" t="b">
        <f t="shared" si="47"/>
        <v>0</v>
      </c>
      <c r="O252" s="612">
        <f t="shared" si="48"/>
        <v>0</v>
      </c>
      <c r="P252" s="613" t="e">
        <f t="shared" si="49"/>
        <v>#N/A</v>
      </c>
      <c r="Q252" s="424" t="e">
        <f t="shared" si="50"/>
        <v>#N/A</v>
      </c>
      <c r="R252" s="611" t="e">
        <f t="shared" si="51"/>
        <v>#N/A</v>
      </c>
      <c r="S252" s="484">
        <f t="shared" si="52"/>
        <v>0</v>
      </c>
      <c r="T252" s="374">
        <f t="shared" si="53"/>
      </c>
      <c r="U252" s="374">
        <f t="shared" si="42"/>
      </c>
    </row>
    <row r="253" spans="1:21" ht="12.75">
      <c r="A253" s="832"/>
      <c r="B253" s="842"/>
      <c r="C253" s="827"/>
      <c r="D253" s="827"/>
      <c r="E253" s="588" t="e">
        <f t="shared" si="43"/>
        <v>#N/A</v>
      </c>
      <c r="F253" s="831"/>
      <c r="G253" s="831"/>
      <c r="H253" s="831"/>
      <c r="I253" s="481" t="e">
        <f t="shared" si="44"/>
        <v>#N/A</v>
      </c>
      <c r="J253" s="834"/>
      <c r="K253" s="482">
        <f t="shared" si="54"/>
        <v>0</v>
      </c>
      <c r="L253" s="483" t="e">
        <f t="shared" si="45"/>
        <v>#DIV/0!</v>
      </c>
      <c r="M253" s="483" t="str">
        <f t="shared" si="46"/>
        <v>NA</v>
      </c>
      <c r="N253" s="600" t="b">
        <f t="shared" si="47"/>
        <v>0</v>
      </c>
      <c r="O253" s="612">
        <f t="shared" si="48"/>
        <v>0</v>
      </c>
      <c r="P253" s="613" t="e">
        <f t="shared" si="49"/>
        <v>#N/A</v>
      </c>
      <c r="Q253" s="424" t="e">
        <f t="shared" si="50"/>
        <v>#N/A</v>
      </c>
      <c r="R253" s="611" t="e">
        <f t="shared" si="51"/>
        <v>#N/A</v>
      </c>
      <c r="S253" s="484">
        <f t="shared" si="52"/>
        <v>0</v>
      </c>
      <c r="T253" s="374">
        <f t="shared" si="53"/>
      </c>
      <c r="U253" s="374">
        <f t="shared" si="42"/>
      </c>
    </row>
    <row r="254" spans="1:21" ht="12.75">
      <c r="A254" s="832"/>
      <c r="B254" s="842"/>
      <c r="C254" s="827"/>
      <c r="D254" s="827"/>
      <c r="E254" s="588" t="e">
        <f t="shared" si="43"/>
        <v>#N/A</v>
      </c>
      <c r="F254" s="831"/>
      <c r="G254" s="831"/>
      <c r="H254" s="831"/>
      <c r="I254" s="481" t="e">
        <f t="shared" si="44"/>
        <v>#N/A</v>
      </c>
      <c r="J254" s="834"/>
      <c r="K254" s="482">
        <f t="shared" si="54"/>
        <v>0</v>
      </c>
      <c r="L254" s="483" t="e">
        <f t="shared" si="45"/>
        <v>#DIV/0!</v>
      </c>
      <c r="M254" s="483" t="str">
        <f t="shared" si="46"/>
        <v>NA</v>
      </c>
      <c r="N254" s="600" t="b">
        <f t="shared" si="47"/>
        <v>0</v>
      </c>
      <c r="O254" s="612">
        <f t="shared" si="48"/>
        <v>0</v>
      </c>
      <c r="P254" s="613" t="e">
        <f t="shared" si="49"/>
        <v>#N/A</v>
      </c>
      <c r="Q254" s="424" t="e">
        <f t="shared" si="50"/>
        <v>#N/A</v>
      </c>
      <c r="R254" s="611" t="e">
        <f t="shared" si="51"/>
        <v>#N/A</v>
      </c>
      <c r="S254" s="484">
        <f t="shared" si="52"/>
        <v>0</v>
      </c>
      <c r="T254" s="374">
        <f t="shared" si="53"/>
      </c>
      <c r="U254" s="374">
        <f t="shared" si="42"/>
      </c>
    </row>
    <row r="255" spans="1:21" ht="12.75">
      <c r="A255" s="832"/>
      <c r="B255" s="842"/>
      <c r="C255" s="827"/>
      <c r="D255" s="827"/>
      <c r="E255" s="588" t="e">
        <f t="shared" si="43"/>
        <v>#N/A</v>
      </c>
      <c r="F255" s="831"/>
      <c r="G255" s="831"/>
      <c r="H255" s="831"/>
      <c r="I255" s="481" t="e">
        <f t="shared" si="44"/>
        <v>#N/A</v>
      </c>
      <c r="J255" s="834"/>
      <c r="K255" s="482">
        <f t="shared" si="54"/>
        <v>0</v>
      </c>
      <c r="L255" s="483" t="e">
        <f t="shared" si="45"/>
        <v>#DIV/0!</v>
      </c>
      <c r="M255" s="483" t="str">
        <f t="shared" si="46"/>
        <v>NA</v>
      </c>
      <c r="N255" s="600" t="b">
        <f t="shared" si="47"/>
        <v>0</v>
      </c>
      <c r="O255" s="612">
        <f t="shared" si="48"/>
        <v>0</v>
      </c>
      <c r="P255" s="613" t="e">
        <f t="shared" si="49"/>
        <v>#N/A</v>
      </c>
      <c r="Q255" s="424" t="e">
        <f t="shared" si="50"/>
        <v>#N/A</v>
      </c>
      <c r="R255" s="611" t="e">
        <f t="shared" si="51"/>
        <v>#N/A</v>
      </c>
      <c r="S255" s="484">
        <f t="shared" si="52"/>
        <v>0</v>
      </c>
      <c r="T255" s="374">
        <f t="shared" si="53"/>
      </c>
      <c r="U255" s="374">
        <f t="shared" si="42"/>
      </c>
    </row>
    <row r="256" spans="1:21" ht="12.75">
      <c r="A256" s="832"/>
      <c r="B256" s="842"/>
      <c r="C256" s="827"/>
      <c r="D256" s="827"/>
      <c r="E256" s="588" t="e">
        <f t="shared" si="43"/>
        <v>#N/A</v>
      </c>
      <c r="F256" s="831"/>
      <c r="G256" s="831"/>
      <c r="H256" s="831"/>
      <c r="I256" s="481" t="e">
        <f t="shared" si="44"/>
        <v>#N/A</v>
      </c>
      <c r="J256" s="834"/>
      <c r="K256" s="482">
        <f t="shared" si="54"/>
        <v>0</v>
      </c>
      <c r="L256" s="483" t="e">
        <f t="shared" si="45"/>
        <v>#DIV/0!</v>
      </c>
      <c r="M256" s="483" t="str">
        <f t="shared" si="46"/>
        <v>NA</v>
      </c>
      <c r="N256" s="600" t="b">
        <f t="shared" si="47"/>
        <v>0</v>
      </c>
      <c r="O256" s="612">
        <f t="shared" si="48"/>
        <v>0</v>
      </c>
      <c r="P256" s="613" t="e">
        <f t="shared" si="49"/>
        <v>#N/A</v>
      </c>
      <c r="Q256" s="424" t="e">
        <f t="shared" si="50"/>
        <v>#N/A</v>
      </c>
      <c r="R256" s="611" t="e">
        <f t="shared" si="51"/>
        <v>#N/A</v>
      </c>
      <c r="S256" s="484">
        <f t="shared" si="52"/>
        <v>0</v>
      </c>
      <c r="T256" s="374">
        <f t="shared" si="53"/>
      </c>
      <c r="U256" s="374">
        <f t="shared" si="42"/>
      </c>
    </row>
    <row r="257" spans="1:21" ht="12.75">
      <c r="A257" s="832"/>
      <c r="B257" s="842"/>
      <c r="C257" s="846"/>
      <c r="D257" s="827"/>
      <c r="E257" s="588" t="e">
        <f t="shared" si="43"/>
        <v>#N/A</v>
      </c>
      <c r="F257" s="831"/>
      <c r="G257" s="831"/>
      <c r="H257" s="831"/>
      <c r="I257" s="481" t="e">
        <f t="shared" si="44"/>
        <v>#N/A</v>
      </c>
      <c r="J257" s="834"/>
      <c r="K257" s="482">
        <f t="shared" si="54"/>
        <v>0</v>
      </c>
      <c r="L257" s="483" t="e">
        <f t="shared" si="45"/>
        <v>#DIV/0!</v>
      </c>
      <c r="M257" s="483" t="str">
        <f t="shared" si="46"/>
        <v>NA</v>
      </c>
      <c r="N257" s="600" t="b">
        <f t="shared" si="47"/>
        <v>0</v>
      </c>
      <c r="O257" s="612">
        <f t="shared" si="48"/>
        <v>0</v>
      </c>
      <c r="P257" s="613" t="e">
        <f t="shared" si="49"/>
        <v>#N/A</v>
      </c>
      <c r="Q257" s="424" t="e">
        <f t="shared" si="50"/>
        <v>#N/A</v>
      </c>
      <c r="R257" s="611" t="e">
        <f t="shared" si="51"/>
        <v>#N/A</v>
      </c>
      <c r="S257" s="484">
        <f t="shared" si="52"/>
        <v>0</v>
      </c>
      <c r="T257" s="374">
        <f t="shared" si="53"/>
      </c>
      <c r="U257" s="374">
        <f t="shared" si="42"/>
      </c>
    </row>
    <row r="258" spans="1:21" ht="12.75">
      <c r="A258" s="832"/>
      <c r="B258" s="842"/>
      <c r="C258" s="827"/>
      <c r="D258" s="827"/>
      <c r="E258" s="588" t="e">
        <f t="shared" si="43"/>
        <v>#N/A</v>
      </c>
      <c r="F258" s="831"/>
      <c r="G258" s="831"/>
      <c r="H258" s="831"/>
      <c r="I258" s="481" t="e">
        <f t="shared" si="44"/>
        <v>#N/A</v>
      </c>
      <c r="J258" s="834"/>
      <c r="K258" s="482">
        <f t="shared" si="54"/>
        <v>0</v>
      </c>
      <c r="L258" s="483" t="e">
        <f t="shared" si="45"/>
        <v>#DIV/0!</v>
      </c>
      <c r="M258" s="483" t="str">
        <f t="shared" si="46"/>
        <v>NA</v>
      </c>
      <c r="N258" s="600" t="b">
        <f t="shared" si="47"/>
        <v>0</v>
      </c>
      <c r="O258" s="612">
        <f t="shared" si="48"/>
        <v>0</v>
      </c>
      <c r="P258" s="613" t="e">
        <f t="shared" si="49"/>
        <v>#N/A</v>
      </c>
      <c r="Q258" s="424" t="e">
        <f t="shared" si="50"/>
        <v>#N/A</v>
      </c>
      <c r="R258" s="611" t="e">
        <f t="shared" si="51"/>
        <v>#N/A</v>
      </c>
      <c r="S258" s="484">
        <f t="shared" si="52"/>
        <v>0</v>
      </c>
      <c r="T258" s="374">
        <f t="shared" si="53"/>
      </c>
      <c r="U258" s="374">
        <f t="shared" si="42"/>
      </c>
    </row>
    <row r="259" spans="1:21" ht="12.75">
      <c r="A259" s="832"/>
      <c r="B259" s="842"/>
      <c r="C259" s="827"/>
      <c r="D259" s="827"/>
      <c r="E259" s="588" t="e">
        <f t="shared" si="43"/>
        <v>#N/A</v>
      </c>
      <c r="F259" s="831"/>
      <c r="G259" s="831"/>
      <c r="H259" s="831"/>
      <c r="I259" s="481" t="e">
        <f t="shared" si="44"/>
        <v>#N/A</v>
      </c>
      <c r="J259" s="834"/>
      <c r="K259" s="482">
        <f t="shared" si="54"/>
        <v>0</v>
      </c>
      <c r="L259" s="483" t="e">
        <f t="shared" si="45"/>
        <v>#DIV/0!</v>
      </c>
      <c r="M259" s="483" t="str">
        <f t="shared" si="46"/>
        <v>NA</v>
      </c>
      <c r="N259" s="600" t="b">
        <f t="shared" si="47"/>
        <v>0</v>
      </c>
      <c r="O259" s="612">
        <f t="shared" si="48"/>
        <v>0</v>
      </c>
      <c r="P259" s="613" t="e">
        <f t="shared" si="49"/>
        <v>#N/A</v>
      </c>
      <c r="Q259" s="424" t="e">
        <f t="shared" si="50"/>
        <v>#N/A</v>
      </c>
      <c r="R259" s="611" t="e">
        <f t="shared" si="51"/>
        <v>#N/A</v>
      </c>
      <c r="S259" s="484">
        <f t="shared" si="52"/>
        <v>0</v>
      </c>
      <c r="T259" s="374">
        <f t="shared" si="53"/>
      </c>
      <c r="U259" s="374">
        <f t="shared" si="42"/>
      </c>
    </row>
    <row r="260" spans="1:21" ht="12.75">
      <c r="A260" s="832"/>
      <c r="B260" s="842"/>
      <c r="C260" s="827"/>
      <c r="D260" s="827"/>
      <c r="E260" s="588" t="e">
        <f t="shared" si="43"/>
        <v>#N/A</v>
      </c>
      <c r="F260" s="831"/>
      <c r="G260" s="831"/>
      <c r="H260" s="831"/>
      <c r="I260" s="481" t="e">
        <f t="shared" si="44"/>
        <v>#N/A</v>
      </c>
      <c r="J260" s="834"/>
      <c r="K260" s="482">
        <f t="shared" si="54"/>
        <v>0</v>
      </c>
      <c r="L260" s="483" t="e">
        <f t="shared" si="45"/>
        <v>#DIV/0!</v>
      </c>
      <c r="M260" s="483" t="str">
        <f t="shared" si="46"/>
        <v>NA</v>
      </c>
      <c r="N260" s="600" t="b">
        <f t="shared" si="47"/>
        <v>0</v>
      </c>
      <c r="O260" s="612">
        <f t="shared" si="48"/>
        <v>0</v>
      </c>
      <c r="P260" s="613" t="e">
        <f t="shared" si="49"/>
        <v>#N/A</v>
      </c>
      <c r="Q260" s="424" t="e">
        <f t="shared" si="50"/>
        <v>#N/A</v>
      </c>
      <c r="R260" s="611" t="e">
        <f t="shared" si="51"/>
        <v>#N/A</v>
      </c>
      <c r="S260" s="484">
        <f t="shared" si="52"/>
        <v>0</v>
      </c>
      <c r="T260" s="374">
        <f t="shared" si="53"/>
      </c>
      <c r="U260" s="374">
        <f t="shared" si="42"/>
      </c>
    </row>
    <row r="261" spans="1:21" ht="12.75">
      <c r="A261" s="832"/>
      <c r="B261" s="842"/>
      <c r="C261" s="827"/>
      <c r="D261" s="827"/>
      <c r="E261" s="588" t="e">
        <f t="shared" si="43"/>
        <v>#N/A</v>
      </c>
      <c r="F261" s="831"/>
      <c r="G261" s="831"/>
      <c r="H261" s="831"/>
      <c r="I261" s="481" t="e">
        <f t="shared" si="44"/>
        <v>#N/A</v>
      </c>
      <c r="J261" s="834"/>
      <c r="K261" s="482">
        <f t="shared" si="54"/>
        <v>0</v>
      </c>
      <c r="L261" s="483" t="e">
        <f t="shared" si="45"/>
        <v>#DIV/0!</v>
      </c>
      <c r="M261" s="483" t="str">
        <f t="shared" si="46"/>
        <v>NA</v>
      </c>
      <c r="N261" s="600" t="b">
        <f t="shared" si="47"/>
        <v>0</v>
      </c>
      <c r="O261" s="612">
        <f t="shared" si="48"/>
        <v>0</v>
      </c>
      <c r="P261" s="613" t="e">
        <f t="shared" si="49"/>
        <v>#N/A</v>
      </c>
      <c r="Q261" s="424" t="e">
        <f t="shared" si="50"/>
        <v>#N/A</v>
      </c>
      <c r="R261" s="611" t="e">
        <f t="shared" si="51"/>
        <v>#N/A</v>
      </c>
      <c r="S261" s="484">
        <f t="shared" si="52"/>
        <v>0</v>
      </c>
      <c r="T261" s="374">
        <f t="shared" si="53"/>
      </c>
      <c r="U261" s="374">
        <f t="shared" si="42"/>
      </c>
    </row>
    <row r="262" spans="1:21" ht="12.75">
      <c r="A262" s="832"/>
      <c r="B262" s="842"/>
      <c r="C262" s="827"/>
      <c r="D262" s="827"/>
      <c r="E262" s="588" t="e">
        <f t="shared" si="43"/>
        <v>#N/A</v>
      </c>
      <c r="F262" s="831"/>
      <c r="G262" s="831"/>
      <c r="H262" s="831"/>
      <c r="I262" s="481" t="e">
        <f t="shared" si="44"/>
        <v>#N/A</v>
      </c>
      <c r="J262" s="834"/>
      <c r="K262" s="482">
        <f t="shared" si="54"/>
        <v>0</v>
      </c>
      <c r="L262" s="483" t="e">
        <f t="shared" si="45"/>
        <v>#DIV/0!</v>
      </c>
      <c r="M262" s="483" t="str">
        <f t="shared" si="46"/>
        <v>NA</v>
      </c>
      <c r="N262" s="600" t="b">
        <f t="shared" si="47"/>
        <v>0</v>
      </c>
      <c r="O262" s="612">
        <f t="shared" si="48"/>
        <v>0</v>
      </c>
      <c r="P262" s="613" t="e">
        <f t="shared" si="49"/>
        <v>#N/A</v>
      </c>
      <c r="Q262" s="424" t="e">
        <f t="shared" si="50"/>
        <v>#N/A</v>
      </c>
      <c r="R262" s="611" t="e">
        <f t="shared" si="51"/>
        <v>#N/A</v>
      </c>
      <c r="S262" s="484">
        <f t="shared" si="52"/>
        <v>0</v>
      </c>
      <c r="T262" s="374">
        <f t="shared" si="53"/>
      </c>
      <c r="U262" s="374">
        <f t="shared" si="42"/>
      </c>
    </row>
    <row r="263" spans="1:21" ht="12.75">
      <c r="A263" s="832"/>
      <c r="B263" s="842"/>
      <c r="C263" s="846"/>
      <c r="D263" s="827"/>
      <c r="E263" s="588" t="e">
        <f t="shared" si="43"/>
        <v>#N/A</v>
      </c>
      <c r="F263" s="831"/>
      <c r="G263" s="831"/>
      <c r="H263" s="831"/>
      <c r="I263" s="481" t="e">
        <f t="shared" si="44"/>
        <v>#N/A</v>
      </c>
      <c r="J263" s="834"/>
      <c r="K263" s="482">
        <f t="shared" si="54"/>
        <v>0</v>
      </c>
      <c r="L263" s="483" t="e">
        <f t="shared" si="45"/>
        <v>#DIV/0!</v>
      </c>
      <c r="M263" s="483" t="str">
        <f t="shared" si="46"/>
        <v>NA</v>
      </c>
      <c r="N263" s="600" t="b">
        <f t="shared" si="47"/>
        <v>0</v>
      </c>
      <c r="O263" s="612">
        <f t="shared" si="48"/>
        <v>0</v>
      </c>
      <c r="P263" s="613" t="e">
        <f t="shared" si="49"/>
        <v>#N/A</v>
      </c>
      <c r="Q263" s="424" t="e">
        <f t="shared" si="50"/>
        <v>#N/A</v>
      </c>
      <c r="R263" s="611" t="e">
        <f t="shared" si="51"/>
        <v>#N/A</v>
      </c>
      <c r="S263" s="484">
        <f t="shared" si="52"/>
        <v>0</v>
      </c>
      <c r="T263" s="374">
        <f t="shared" si="53"/>
      </c>
      <c r="U263" s="374">
        <f t="shared" si="42"/>
      </c>
    </row>
    <row r="264" spans="1:21" ht="12.75">
      <c r="A264" s="832"/>
      <c r="B264" s="842"/>
      <c r="C264" s="827"/>
      <c r="D264" s="827"/>
      <c r="E264" s="588" t="e">
        <f t="shared" si="43"/>
        <v>#N/A</v>
      </c>
      <c r="F264" s="831"/>
      <c r="G264" s="831"/>
      <c r="H264" s="831"/>
      <c r="I264" s="481" t="e">
        <f t="shared" si="44"/>
        <v>#N/A</v>
      </c>
      <c r="J264" s="834"/>
      <c r="K264" s="482">
        <f t="shared" si="54"/>
        <v>0</v>
      </c>
      <c r="L264" s="483" t="e">
        <f t="shared" si="45"/>
        <v>#DIV/0!</v>
      </c>
      <c r="M264" s="483" t="str">
        <f t="shared" si="46"/>
        <v>NA</v>
      </c>
      <c r="N264" s="600" t="b">
        <f t="shared" si="47"/>
        <v>0</v>
      </c>
      <c r="O264" s="612">
        <f t="shared" si="48"/>
        <v>0</v>
      </c>
      <c r="P264" s="613" t="e">
        <f t="shared" si="49"/>
        <v>#N/A</v>
      </c>
      <c r="Q264" s="424" t="e">
        <f t="shared" si="50"/>
        <v>#N/A</v>
      </c>
      <c r="R264" s="611" t="e">
        <f t="shared" si="51"/>
        <v>#N/A</v>
      </c>
      <c r="S264" s="484">
        <f t="shared" si="52"/>
        <v>0</v>
      </c>
      <c r="T264" s="374">
        <f t="shared" si="53"/>
      </c>
      <c r="U264" s="374">
        <f t="shared" si="42"/>
      </c>
    </row>
    <row r="265" spans="1:21" ht="12.75">
      <c r="A265" s="832"/>
      <c r="B265" s="842"/>
      <c r="C265" s="827"/>
      <c r="D265" s="827"/>
      <c r="E265" s="588" t="e">
        <f t="shared" si="43"/>
        <v>#N/A</v>
      </c>
      <c r="F265" s="831"/>
      <c r="G265" s="831"/>
      <c r="H265" s="831"/>
      <c r="I265" s="481" t="e">
        <f t="shared" si="44"/>
        <v>#N/A</v>
      </c>
      <c r="J265" s="834"/>
      <c r="K265" s="482">
        <f t="shared" si="54"/>
        <v>0</v>
      </c>
      <c r="L265" s="483" t="e">
        <f t="shared" si="45"/>
        <v>#DIV/0!</v>
      </c>
      <c r="M265" s="483" t="str">
        <f t="shared" si="46"/>
        <v>NA</v>
      </c>
      <c r="N265" s="600" t="b">
        <f t="shared" si="47"/>
        <v>0</v>
      </c>
      <c r="O265" s="612">
        <f t="shared" si="48"/>
        <v>0</v>
      </c>
      <c r="P265" s="613" t="e">
        <f t="shared" si="49"/>
        <v>#N/A</v>
      </c>
      <c r="Q265" s="424" t="e">
        <f t="shared" si="50"/>
        <v>#N/A</v>
      </c>
      <c r="R265" s="611" t="e">
        <f t="shared" si="51"/>
        <v>#N/A</v>
      </c>
      <c r="S265" s="484">
        <f t="shared" si="52"/>
        <v>0</v>
      </c>
      <c r="T265" s="374">
        <f t="shared" si="53"/>
      </c>
      <c r="U265" s="374">
        <f t="shared" si="42"/>
      </c>
    </row>
    <row r="266" spans="1:21" ht="12.75">
      <c r="A266" s="832"/>
      <c r="B266" s="842"/>
      <c r="C266" s="827"/>
      <c r="D266" s="827"/>
      <c r="E266" s="588" t="e">
        <f t="shared" si="43"/>
        <v>#N/A</v>
      </c>
      <c r="F266" s="831"/>
      <c r="G266" s="831"/>
      <c r="H266" s="831"/>
      <c r="I266" s="481" t="e">
        <f t="shared" si="44"/>
        <v>#N/A</v>
      </c>
      <c r="J266" s="834"/>
      <c r="K266" s="482">
        <f t="shared" si="54"/>
        <v>0</v>
      </c>
      <c r="L266" s="483" t="e">
        <f t="shared" si="45"/>
        <v>#DIV/0!</v>
      </c>
      <c r="M266" s="483" t="str">
        <f t="shared" si="46"/>
        <v>NA</v>
      </c>
      <c r="N266" s="600" t="b">
        <f t="shared" si="47"/>
        <v>0</v>
      </c>
      <c r="O266" s="612">
        <f t="shared" si="48"/>
        <v>0</v>
      </c>
      <c r="P266" s="613" t="e">
        <f t="shared" si="49"/>
        <v>#N/A</v>
      </c>
      <c r="Q266" s="424" t="e">
        <f t="shared" si="50"/>
        <v>#N/A</v>
      </c>
      <c r="R266" s="611" t="e">
        <f t="shared" si="51"/>
        <v>#N/A</v>
      </c>
      <c r="S266" s="484">
        <f t="shared" si="52"/>
        <v>0</v>
      </c>
      <c r="T266" s="374">
        <f t="shared" si="53"/>
      </c>
      <c r="U266" s="374">
        <f t="shared" si="42"/>
      </c>
    </row>
    <row r="267" spans="1:21" ht="12.75">
      <c r="A267" s="832"/>
      <c r="B267" s="842"/>
      <c r="C267" s="827"/>
      <c r="D267" s="827"/>
      <c r="E267" s="588" t="e">
        <f t="shared" si="43"/>
        <v>#N/A</v>
      </c>
      <c r="F267" s="831"/>
      <c r="G267" s="831"/>
      <c r="H267" s="831"/>
      <c r="I267" s="481" t="e">
        <f t="shared" si="44"/>
        <v>#N/A</v>
      </c>
      <c r="J267" s="834"/>
      <c r="K267" s="482">
        <f t="shared" si="54"/>
        <v>0</v>
      </c>
      <c r="L267" s="483" t="e">
        <f t="shared" si="45"/>
        <v>#DIV/0!</v>
      </c>
      <c r="M267" s="483" t="str">
        <f t="shared" si="46"/>
        <v>NA</v>
      </c>
      <c r="N267" s="600" t="b">
        <f t="shared" si="47"/>
        <v>0</v>
      </c>
      <c r="O267" s="612">
        <f t="shared" si="48"/>
        <v>0</v>
      </c>
      <c r="P267" s="613" t="e">
        <f t="shared" si="49"/>
        <v>#N/A</v>
      </c>
      <c r="Q267" s="424" t="e">
        <f t="shared" si="50"/>
        <v>#N/A</v>
      </c>
      <c r="R267" s="611" t="e">
        <f t="shared" si="51"/>
        <v>#N/A</v>
      </c>
      <c r="S267" s="484">
        <f t="shared" si="52"/>
        <v>0</v>
      </c>
      <c r="T267" s="374">
        <f t="shared" si="53"/>
      </c>
      <c r="U267" s="374">
        <f t="shared" si="42"/>
      </c>
    </row>
    <row r="268" spans="1:21" ht="12.75">
      <c r="A268" s="845"/>
      <c r="B268" s="842"/>
      <c r="C268" s="827"/>
      <c r="D268" s="827"/>
      <c r="E268" s="588" t="e">
        <f t="shared" si="43"/>
        <v>#N/A</v>
      </c>
      <c r="F268" s="831"/>
      <c r="G268" s="831"/>
      <c r="H268" s="831"/>
      <c r="I268" s="481" t="e">
        <f t="shared" si="44"/>
        <v>#N/A</v>
      </c>
      <c r="J268" s="834"/>
      <c r="K268" s="482">
        <f t="shared" si="54"/>
        <v>0</v>
      </c>
      <c r="L268" s="483" t="e">
        <f t="shared" si="45"/>
        <v>#DIV/0!</v>
      </c>
      <c r="M268" s="483" t="str">
        <f t="shared" si="46"/>
        <v>NA</v>
      </c>
      <c r="N268" s="600" t="b">
        <f t="shared" si="47"/>
        <v>0</v>
      </c>
      <c r="O268" s="612">
        <f t="shared" si="48"/>
        <v>0</v>
      </c>
      <c r="P268" s="613" t="e">
        <f t="shared" si="49"/>
        <v>#N/A</v>
      </c>
      <c r="Q268" s="424" t="e">
        <f t="shared" si="50"/>
        <v>#N/A</v>
      </c>
      <c r="R268" s="611" t="e">
        <f t="shared" si="51"/>
        <v>#N/A</v>
      </c>
      <c r="S268" s="484">
        <f t="shared" si="52"/>
        <v>0</v>
      </c>
      <c r="T268" s="374">
        <f t="shared" si="53"/>
      </c>
      <c r="U268" s="374">
        <f t="shared" si="42"/>
      </c>
    </row>
    <row r="269" spans="1:21" ht="12.75">
      <c r="A269" s="847"/>
      <c r="B269" s="842"/>
      <c r="C269" s="827"/>
      <c r="D269" s="827"/>
      <c r="E269" s="588" t="e">
        <f t="shared" si="43"/>
        <v>#N/A</v>
      </c>
      <c r="F269" s="831"/>
      <c r="G269" s="831"/>
      <c r="H269" s="831"/>
      <c r="I269" s="481" t="e">
        <f t="shared" si="44"/>
        <v>#N/A</v>
      </c>
      <c r="J269" s="834"/>
      <c r="K269" s="482">
        <f t="shared" si="54"/>
        <v>0</v>
      </c>
      <c r="L269" s="483" t="e">
        <f t="shared" si="45"/>
        <v>#DIV/0!</v>
      </c>
      <c r="M269" s="483" t="str">
        <f t="shared" si="46"/>
        <v>NA</v>
      </c>
      <c r="N269" s="600" t="b">
        <f t="shared" si="47"/>
        <v>0</v>
      </c>
      <c r="O269" s="612">
        <f t="shared" si="48"/>
        <v>0</v>
      </c>
      <c r="P269" s="613" t="e">
        <f t="shared" si="49"/>
        <v>#N/A</v>
      </c>
      <c r="Q269" s="424" t="e">
        <f t="shared" si="50"/>
        <v>#N/A</v>
      </c>
      <c r="R269" s="611" t="e">
        <f t="shared" si="51"/>
        <v>#N/A</v>
      </c>
      <c r="S269" s="484">
        <f t="shared" si="52"/>
        <v>0</v>
      </c>
      <c r="T269" s="374">
        <f t="shared" si="53"/>
      </c>
      <c r="U269" s="374">
        <f t="shared" si="42"/>
      </c>
    </row>
    <row r="270" spans="1:21" ht="12.75">
      <c r="A270" s="847"/>
      <c r="B270" s="842"/>
      <c r="C270" s="827"/>
      <c r="D270" s="827"/>
      <c r="E270" s="588" t="e">
        <f t="shared" si="43"/>
        <v>#N/A</v>
      </c>
      <c r="F270" s="831"/>
      <c r="G270" s="831"/>
      <c r="H270" s="831"/>
      <c r="I270" s="481" t="e">
        <f t="shared" si="44"/>
        <v>#N/A</v>
      </c>
      <c r="J270" s="834"/>
      <c r="K270" s="482">
        <f t="shared" si="54"/>
        <v>0</v>
      </c>
      <c r="L270" s="483" t="e">
        <f t="shared" si="45"/>
        <v>#DIV/0!</v>
      </c>
      <c r="M270" s="483" t="str">
        <f t="shared" si="46"/>
        <v>NA</v>
      </c>
      <c r="N270" s="600" t="b">
        <f t="shared" si="47"/>
        <v>0</v>
      </c>
      <c r="O270" s="612">
        <f t="shared" si="48"/>
        <v>0</v>
      </c>
      <c r="P270" s="613" t="e">
        <f t="shared" si="49"/>
        <v>#N/A</v>
      </c>
      <c r="Q270" s="424" t="e">
        <f t="shared" si="50"/>
        <v>#N/A</v>
      </c>
      <c r="R270" s="611" t="e">
        <f t="shared" si="51"/>
        <v>#N/A</v>
      </c>
      <c r="S270" s="484">
        <f t="shared" si="52"/>
        <v>0</v>
      </c>
      <c r="T270" s="374">
        <f t="shared" si="53"/>
      </c>
      <c r="U270" s="374">
        <f t="shared" si="42"/>
      </c>
    </row>
    <row r="271" spans="1:21" ht="12.75">
      <c r="A271" s="845"/>
      <c r="B271" s="842"/>
      <c r="C271" s="827"/>
      <c r="D271" s="827"/>
      <c r="E271" s="588" t="e">
        <f t="shared" si="43"/>
        <v>#N/A</v>
      </c>
      <c r="F271" s="831"/>
      <c r="G271" s="831"/>
      <c r="H271" s="831"/>
      <c r="I271" s="481" t="e">
        <f t="shared" si="44"/>
        <v>#N/A</v>
      </c>
      <c r="J271" s="834"/>
      <c r="K271" s="482">
        <f t="shared" si="54"/>
        <v>0</v>
      </c>
      <c r="L271" s="483" t="e">
        <f t="shared" si="45"/>
        <v>#DIV/0!</v>
      </c>
      <c r="M271" s="483" t="str">
        <f t="shared" si="46"/>
        <v>NA</v>
      </c>
      <c r="N271" s="600" t="b">
        <f t="shared" si="47"/>
        <v>0</v>
      </c>
      <c r="O271" s="612">
        <f t="shared" si="48"/>
        <v>0</v>
      </c>
      <c r="P271" s="613" t="e">
        <f t="shared" si="49"/>
        <v>#N/A</v>
      </c>
      <c r="Q271" s="424" t="e">
        <f t="shared" si="50"/>
        <v>#N/A</v>
      </c>
      <c r="R271" s="611" t="e">
        <f t="shared" si="51"/>
        <v>#N/A</v>
      </c>
      <c r="S271" s="484">
        <f t="shared" si="52"/>
        <v>0</v>
      </c>
      <c r="T271" s="374">
        <f t="shared" si="53"/>
      </c>
      <c r="U271" s="374">
        <f t="shared" si="42"/>
      </c>
    </row>
    <row r="272" spans="1:21" ht="12.75">
      <c r="A272" s="845"/>
      <c r="B272" s="842"/>
      <c r="C272" s="827"/>
      <c r="D272" s="827"/>
      <c r="E272" s="588" t="e">
        <f t="shared" si="43"/>
        <v>#N/A</v>
      </c>
      <c r="F272" s="831"/>
      <c r="G272" s="831"/>
      <c r="H272" s="831"/>
      <c r="I272" s="481" t="e">
        <f t="shared" si="44"/>
        <v>#N/A</v>
      </c>
      <c r="J272" s="834"/>
      <c r="K272" s="482">
        <f t="shared" si="54"/>
        <v>0</v>
      </c>
      <c r="L272" s="483" t="e">
        <f t="shared" si="45"/>
        <v>#DIV/0!</v>
      </c>
      <c r="M272" s="483" t="str">
        <f t="shared" si="46"/>
        <v>NA</v>
      </c>
      <c r="N272" s="600" t="b">
        <f t="shared" si="47"/>
        <v>0</v>
      </c>
      <c r="O272" s="612">
        <f t="shared" si="48"/>
        <v>0</v>
      </c>
      <c r="P272" s="613" t="e">
        <f t="shared" si="49"/>
        <v>#N/A</v>
      </c>
      <c r="Q272" s="424" t="e">
        <f t="shared" si="50"/>
        <v>#N/A</v>
      </c>
      <c r="R272" s="611" t="e">
        <f t="shared" si="51"/>
        <v>#N/A</v>
      </c>
      <c r="S272" s="484">
        <f t="shared" si="52"/>
        <v>0</v>
      </c>
      <c r="T272" s="374">
        <f t="shared" si="53"/>
      </c>
      <c r="U272" s="374">
        <f t="shared" si="42"/>
      </c>
    </row>
    <row r="273" spans="1:21" ht="12.75">
      <c r="A273" s="832"/>
      <c r="B273" s="842"/>
      <c r="C273" s="827"/>
      <c r="D273" s="827"/>
      <c r="E273" s="588" t="e">
        <f t="shared" si="43"/>
        <v>#N/A</v>
      </c>
      <c r="F273" s="831"/>
      <c r="G273" s="831"/>
      <c r="H273" s="831"/>
      <c r="I273" s="481" t="e">
        <f t="shared" si="44"/>
        <v>#N/A</v>
      </c>
      <c r="J273" s="834"/>
      <c r="K273" s="482">
        <f t="shared" si="54"/>
        <v>0</v>
      </c>
      <c r="L273" s="483" t="e">
        <f t="shared" si="45"/>
        <v>#DIV/0!</v>
      </c>
      <c r="M273" s="483" t="str">
        <f t="shared" si="46"/>
        <v>NA</v>
      </c>
      <c r="N273" s="600" t="b">
        <f t="shared" si="47"/>
        <v>0</v>
      </c>
      <c r="O273" s="612">
        <f t="shared" si="48"/>
        <v>0</v>
      </c>
      <c r="P273" s="613" t="e">
        <f t="shared" si="49"/>
        <v>#N/A</v>
      </c>
      <c r="Q273" s="424" t="e">
        <f t="shared" si="50"/>
        <v>#N/A</v>
      </c>
      <c r="R273" s="611" t="e">
        <f t="shared" si="51"/>
        <v>#N/A</v>
      </c>
      <c r="S273" s="484">
        <f t="shared" si="52"/>
        <v>0</v>
      </c>
      <c r="T273" s="374">
        <f t="shared" si="53"/>
      </c>
      <c r="U273" s="374">
        <f t="shared" si="42"/>
      </c>
    </row>
    <row r="274" spans="1:21" ht="12.75">
      <c r="A274" s="832"/>
      <c r="B274" s="842"/>
      <c r="C274" s="846"/>
      <c r="D274" s="827"/>
      <c r="E274" s="588" t="e">
        <f t="shared" si="43"/>
        <v>#N/A</v>
      </c>
      <c r="F274" s="831"/>
      <c r="G274" s="831"/>
      <c r="H274" s="831"/>
      <c r="I274" s="481" t="e">
        <f t="shared" si="44"/>
        <v>#N/A</v>
      </c>
      <c r="J274" s="834"/>
      <c r="K274" s="482">
        <f t="shared" si="54"/>
        <v>0</v>
      </c>
      <c r="L274" s="483" t="e">
        <f t="shared" si="45"/>
        <v>#DIV/0!</v>
      </c>
      <c r="M274" s="483" t="str">
        <f t="shared" si="46"/>
        <v>NA</v>
      </c>
      <c r="N274" s="600" t="b">
        <f t="shared" si="47"/>
        <v>0</v>
      </c>
      <c r="O274" s="612">
        <f t="shared" si="48"/>
        <v>0</v>
      </c>
      <c r="P274" s="613" t="e">
        <f t="shared" si="49"/>
        <v>#N/A</v>
      </c>
      <c r="Q274" s="424" t="e">
        <f t="shared" si="50"/>
        <v>#N/A</v>
      </c>
      <c r="R274" s="611" t="e">
        <f t="shared" si="51"/>
        <v>#N/A</v>
      </c>
      <c r="S274" s="484">
        <f t="shared" si="52"/>
        <v>0</v>
      </c>
      <c r="T274" s="374">
        <f t="shared" si="53"/>
      </c>
      <c r="U274" s="374">
        <f t="shared" si="42"/>
      </c>
    </row>
    <row r="275" spans="1:21" ht="12.75">
      <c r="A275" s="832"/>
      <c r="B275" s="842"/>
      <c r="C275" s="827"/>
      <c r="D275" s="827"/>
      <c r="E275" s="588" t="e">
        <f t="shared" si="43"/>
        <v>#N/A</v>
      </c>
      <c r="F275" s="831"/>
      <c r="G275" s="831"/>
      <c r="H275" s="831"/>
      <c r="I275" s="481" t="e">
        <f t="shared" si="44"/>
        <v>#N/A</v>
      </c>
      <c r="J275" s="834"/>
      <c r="K275" s="482">
        <f t="shared" si="54"/>
        <v>0</v>
      </c>
      <c r="L275" s="483" t="e">
        <f t="shared" si="45"/>
        <v>#DIV/0!</v>
      </c>
      <c r="M275" s="483" t="str">
        <f t="shared" si="46"/>
        <v>NA</v>
      </c>
      <c r="N275" s="600" t="b">
        <f t="shared" si="47"/>
        <v>0</v>
      </c>
      <c r="O275" s="612">
        <f t="shared" si="48"/>
        <v>0</v>
      </c>
      <c r="P275" s="613" t="e">
        <f t="shared" si="49"/>
        <v>#N/A</v>
      </c>
      <c r="Q275" s="424" t="e">
        <f t="shared" si="50"/>
        <v>#N/A</v>
      </c>
      <c r="R275" s="611" t="e">
        <f t="shared" si="51"/>
        <v>#N/A</v>
      </c>
      <c r="S275" s="484">
        <f t="shared" si="52"/>
        <v>0</v>
      </c>
      <c r="T275" s="374">
        <f t="shared" si="53"/>
      </c>
      <c r="U275" s="374">
        <f t="shared" si="42"/>
      </c>
    </row>
    <row r="276" spans="1:21" ht="12.75">
      <c r="A276" s="832"/>
      <c r="B276" s="842"/>
      <c r="C276" s="827"/>
      <c r="D276" s="827"/>
      <c r="E276" s="588" t="e">
        <f t="shared" si="43"/>
        <v>#N/A</v>
      </c>
      <c r="F276" s="831"/>
      <c r="G276" s="831"/>
      <c r="H276" s="831"/>
      <c r="I276" s="481" t="e">
        <f t="shared" si="44"/>
        <v>#N/A</v>
      </c>
      <c r="J276" s="834"/>
      <c r="K276" s="482">
        <f t="shared" si="54"/>
        <v>0</v>
      </c>
      <c r="L276" s="483" t="e">
        <f t="shared" si="45"/>
        <v>#DIV/0!</v>
      </c>
      <c r="M276" s="483" t="str">
        <f t="shared" si="46"/>
        <v>NA</v>
      </c>
      <c r="N276" s="600" t="b">
        <f t="shared" si="47"/>
        <v>0</v>
      </c>
      <c r="O276" s="612">
        <f t="shared" si="48"/>
        <v>0</v>
      </c>
      <c r="P276" s="613" t="e">
        <f t="shared" si="49"/>
        <v>#N/A</v>
      </c>
      <c r="Q276" s="424" t="e">
        <f t="shared" si="50"/>
        <v>#N/A</v>
      </c>
      <c r="R276" s="611" t="e">
        <f t="shared" si="51"/>
        <v>#N/A</v>
      </c>
      <c r="S276" s="484">
        <f t="shared" si="52"/>
        <v>0</v>
      </c>
      <c r="T276" s="374">
        <f t="shared" si="53"/>
      </c>
      <c r="U276" s="374">
        <f t="shared" si="42"/>
      </c>
    </row>
    <row r="277" spans="1:21" ht="12.75">
      <c r="A277" s="832"/>
      <c r="B277" s="842"/>
      <c r="C277" s="827"/>
      <c r="D277" s="827"/>
      <c r="E277" s="588" t="e">
        <f t="shared" si="43"/>
        <v>#N/A</v>
      </c>
      <c r="F277" s="831"/>
      <c r="G277" s="831"/>
      <c r="H277" s="831"/>
      <c r="I277" s="481" t="e">
        <f t="shared" si="44"/>
        <v>#N/A</v>
      </c>
      <c r="J277" s="834"/>
      <c r="K277" s="482">
        <f t="shared" si="54"/>
        <v>0</v>
      </c>
      <c r="L277" s="483" t="e">
        <f t="shared" si="45"/>
        <v>#DIV/0!</v>
      </c>
      <c r="M277" s="483" t="str">
        <f t="shared" si="46"/>
        <v>NA</v>
      </c>
      <c r="N277" s="600" t="b">
        <f t="shared" si="47"/>
        <v>0</v>
      </c>
      <c r="O277" s="612">
        <f t="shared" si="48"/>
        <v>0</v>
      </c>
      <c r="P277" s="613" t="e">
        <f t="shared" si="49"/>
        <v>#N/A</v>
      </c>
      <c r="Q277" s="424" t="e">
        <f t="shared" si="50"/>
        <v>#N/A</v>
      </c>
      <c r="R277" s="611" t="e">
        <f t="shared" si="51"/>
        <v>#N/A</v>
      </c>
      <c r="S277" s="484">
        <f t="shared" si="52"/>
        <v>0</v>
      </c>
      <c r="T277" s="374">
        <f t="shared" si="53"/>
      </c>
      <c r="U277" s="374">
        <f t="shared" si="42"/>
      </c>
    </row>
    <row r="278" spans="1:21" ht="12.75">
      <c r="A278" s="832"/>
      <c r="B278" s="842"/>
      <c r="C278" s="827"/>
      <c r="D278" s="827"/>
      <c r="E278" s="588" t="e">
        <f t="shared" si="43"/>
        <v>#N/A</v>
      </c>
      <c r="F278" s="831"/>
      <c r="G278" s="831"/>
      <c r="H278" s="831"/>
      <c r="I278" s="481" t="e">
        <f t="shared" si="44"/>
        <v>#N/A</v>
      </c>
      <c r="J278" s="834"/>
      <c r="K278" s="482">
        <f t="shared" si="54"/>
        <v>0</v>
      </c>
      <c r="L278" s="483" t="e">
        <f t="shared" si="45"/>
        <v>#DIV/0!</v>
      </c>
      <c r="M278" s="483" t="str">
        <f t="shared" si="46"/>
        <v>NA</v>
      </c>
      <c r="N278" s="600" t="b">
        <f t="shared" si="47"/>
        <v>0</v>
      </c>
      <c r="O278" s="612">
        <f t="shared" si="48"/>
        <v>0</v>
      </c>
      <c r="P278" s="613" t="e">
        <f t="shared" si="49"/>
        <v>#N/A</v>
      </c>
      <c r="Q278" s="424" t="e">
        <f t="shared" si="50"/>
        <v>#N/A</v>
      </c>
      <c r="R278" s="611" t="e">
        <f t="shared" si="51"/>
        <v>#N/A</v>
      </c>
      <c r="S278" s="484">
        <f t="shared" si="52"/>
        <v>0</v>
      </c>
      <c r="T278" s="374">
        <f t="shared" si="53"/>
      </c>
      <c r="U278" s="374">
        <f t="shared" si="42"/>
      </c>
    </row>
    <row r="279" spans="1:21" ht="12.75">
      <c r="A279" s="832"/>
      <c r="B279" s="842"/>
      <c r="C279" s="827"/>
      <c r="D279" s="827"/>
      <c r="E279" s="588" t="e">
        <f t="shared" si="43"/>
        <v>#N/A</v>
      </c>
      <c r="F279" s="831"/>
      <c r="G279" s="831"/>
      <c r="H279" s="831"/>
      <c r="I279" s="481" t="e">
        <f t="shared" si="44"/>
        <v>#N/A</v>
      </c>
      <c r="J279" s="834"/>
      <c r="K279" s="482">
        <f t="shared" si="54"/>
        <v>0</v>
      </c>
      <c r="L279" s="483" t="e">
        <f t="shared" si="45"/>
        <v>#DIV/0!</v>
      </c>
      <c r="M279" s="483" t="str">
        <f t="shared" si="46"/>
        <v>NA</v>
      </c>
      <c r="N279" s="600" t="b">
        <f t="shared" si="47"/>
        <v>0</v>
      </c>
      <c r="O279" s="612">
        <f t="shared" si="48"/>
        <v>0</v>
      </c>
      <c r="P279" s="613" t="e">
        <f t="shared" si="49"/>
        <v>#N/A</v>
      </c>
      <c r="Q279" s="424" t="e">
        <f t="shared" si="50"/>
        <v>#N/A</v>
      </c>
      <c r="R279" s="611" t="e">
        <f t="shared" si="51"/>
        <v>#N/A</v>
      </c>
      <c r="S279" s="484">
        <f t="shared" si="52"/>
        <v>0</v>
      </c>
      <c r="T279" s="374">
        <f t="shared" si="53"/>
      </c>
      <c r="U279" s="374">
        <f t="shared" si="42"/>
      </c>
    </row>
    <row r="280" spans="1:21" ht="12.75">
      <c r="A280" s="832"/>
      <c r="B280" s="842"/>
      <c r="C280" s="846"/>
      <c r="D280" s="827"/>
      <c r="E280" s="588" t="e">
        <f t="shared" si="43"/>
        <v>#N/A</v>
      </c>
      <c r="F280" s="831"/>
      <c r="G280" s="831"/>
      <c r="H280" s="831"/>
      <c r="I280" s="481" t="e">
        <f t="shared" si="44"/>
        <v>#N/A</v>
      </c>
      <c r="J280" s="834"/>
      <c r="K280" s="482">
        <f t="shared" si="54"/>
        <v>0</v>
      </c>
      <c r="L280" s="483" t="e">
        <f t="shared" si="45"/>
        <v>#DIV/0!</v>
      </c>
      <c r="M280" s="483" t="str">
        <f t="shared" si="46"/>
        <v>NA</v>
      </c>
      <c r="N280" s="600" t="b">
        <f t="shared" si="47"/>
        <v>0</v>
      </c>
      <c r="O280" s="612">
        <f t="shared" si="48"/>
        <v>0</v>
      </c>
      <c r="P280" s="613" t="e">
        <f t="shared" si="49"/>
        <v>#N/A</v>
      </c>
      <c r="Q280" s="424" t="e">
        <f t="shared" si="50"/>
        <v>#N/A</v>
      </c>
      <c r="R280" s="611" t="e">
        <f t="shared" si="51"/>
        <v>#N/A</v>
      </c>
      <c r="S280" s="484">
        <f t="shared" si="52"/>
        <v>0</v>
      </c>
      <c r="T280" s="374">
        <f t="shared" si="53"/>
      </c>
      <c r="U280" s="374">
        <f t="shared" si="42"/>
      </c>
    </row>
    <row r="281" spans="1:21" ht="12.75">
      <c r="A281" s="832"/>
      <c r="B281" s="842"/>
      <c r="C281" s="827"/>
      <c r="D281" s="827"/>
      <c r="E281" s="588" t="e">
        <f t="shared" si="43"/>
        <v>#N/A</v>
      </c>
      <c r="F281" s="831"/>
      <c r="G281" s="831"/>
      <c r="H281" s="831"/>
      <c r="I281" s="481" t="e">
        <f t="shared" si="44"/>
        <v>#N/A</v>
      </c>
      <c r="J281" s="834"/>
      <c r="K281" s="482">
        <f t="shared" si="54"/>
        <v>0</v>
      </c>
      <c r="L281" s="483" t="e">
        <f t="shared" si="45"/>
        <v>#DIV/0!</v>
      </c>
      <c r="M281" s="483" t="str">
        <f t="shared" si="46"/>
        <v>NA</v>
      </c>
      <c r="N281" s="600" t="b">
        <f t="shared" si="47"/>
        <v>0</v>
      </c>
      <c r="O281" s="612">
        <f t="shared" si="48"/>
        <v>0</v>
      </c>
      <c r="P281" s="613" t="e">
        <f t="shared" si="49"/>
        <v>#N/A</v>
      </c>
      <c r="Q281" s="424" t="e">
        <f t="shared" si="50"/>
        <v>#N/A</v>
      </c>
      <c r="R281" s="611" t="e">
        <f t="shared" si="51"/>
        <v>#N/A</v>
      </c>
      <c r="S281" s="484">
        <f t="shared" si="52"/>
        <v>0</v>
      </c>
      <c r="T281" s="374">
        <f t="shared" si="53"/>
      </c>
      <c r="U281" s="374">
        <f t="shared" si="42"/>
      </c>
    </row>
    <row r="282" spans="1:21" ht="12.75">
      <c r="A282" s="832"/>
      <c r="B282" s="842"/>
      <c r="C282" s="827"/>
      <c r="D282" s="827"/>
      <c r="E282" s="588" t="e">
        <f t="shared" si="43"/>
        <v>#N/A</v>
      </c>
      <c r="F282" s="831"/>
      <c r="G282" s="831"/>
      <c r="H282" s="831"/>
      <c r="I282" s="481" t="e">
        <f t="shared" si="44"/>
        <v>#N/A</v>
      </c>
      <c r="J282" s="834"/>
      <c r="K282" s="482">
        <f t="shared" si="54"/>
        <v>0</v>
      </c>
      <c r="L282" s="483" t="e">
        <f t="shared" si="45"/>
        <v>#DIV/0!</v>
      </c>
      <c r="M282" s="483" t="str">
        <f t="shared" si="46"/>
        <v>NA</v>
      </c>
      <c r="N282" s="600" t="b">
        <f t="shared" si="47"/>
        <v>0</v>
      </c>
      <c r="O282" s="612">
        <f t="shared" si="48"/>
        <v>0</v>
      </c>
      <c r="P282" s="613" t="e">
        <f t="shared" si="49"/>
        <v>#N/A</v>
      </c>
      <c r="Q282" s="424" t="e">
        <f t="shared" si="50"/>
        <v>#N/A</v>
      </c>
      <c r="R282" s="611" t="e">
        <f t="shared" si="51"/>
        <v>#N/A</v>
      </c>
      <c r="S282" s="484">
        <f t="shared" si="52"/>
        <v>0</v>
      </c>
      <c r="T282" s="374">
        <f t="shared" si="53"/>
      </c>
      <c r="U282" s="374">
        <f t="shared" si="42"/>
      </c>
    </row>
    <row r="283" spans="1:21" ht="12.75">
      <c r="A283" s="832"/>
      <c r="B283" s="842"/>
      <c r="C283" s="827"/>
      <c r="D283" s="827"/>
      <c r="E283" s="588" t="e">
        <f t="shared" si="43"/>
        <v>#N/A</v>
      </c>
      <c r="F283" s="831"/>
      <c r="G283" s="831"/>
      <c r="H283" s="831"/>
      <c r="I283" s="481" t="e">
        <f t="shared" si="44"/>
        <v>#N/A</v>
      </c>
      <c r="J283" s="834"/>
      <c r="K283" s="482">
        <f t="shared" si="54"/>
        <v>0</v>
      </c>
      <c r="L283" s="483" t="e">
        <f t="shared" si="45"/>
        <v>#DIV/0!</v>
      </c>
      <c r="M283" s="483" t="str">
        <f t="shared" si="46"/>
        <v>NA</v>
      </c>
      <c r="N283" s="600" t="b">
        <f t="shared" si="47"/>
        <v>0</v>
      </c>
      <c r="O283" s="612">
        <f t="shared" si="48"/>
        <v>0</v>
      </c>
      <c r="P283" s="613" t="e">
        <f t="shared" si="49"/>
        <v>#N/A</v>
      </c>
      <c r="Q283" s="424" t="e">
        <f t="shared" si="50"/>
        <v>#N/A</v>
      </c>
      <c r="R283" s="611" t="e">
        <f t="shared" si="51"/>
        <v>#N/A</v>
      </c>
      <c r="S283" s="484">
        <f t="shared" si="52"/>
        <v>0</v>
      </c>
      <c r="T283" s="374">
        <f t="shared" si="53"/>
      </c>
      <c r="U283" s="374">
        <f t="shared" si="42"/>
      </c>
    </row>
    <row r="284" spans="1:21" ht="12.75">
      <c r="A284" s="832"/>
      <c r="B284" s="842"/>
      <c r="C284" s="827"/>
      <c r="D284" s="827"/>
      <c r="E284" s="588" t="e">
        <f t="shared" si="43"/>
        <v>#N/A</v>
      </c>
      <c r="F284" s="831"/>
      <c r="G284" s="831"/>
      <c r="H284" s="831"/>
      <c r="I284" s="481" t="e">
        <f t="shared" si="44"/>
        <v>#N/A</v>
      </c>
      <c r="J284" s="834"/>
      <c r="K284" s="482">
        <f t="shared" si="54"/>
        <v>0</v>
      </c>
      <c r="L284" s="483" t="e">
        <f t="shared" si="45"/>
        <v>#DIV/0!</v>
      </c>
      <c r="M284" s="483" t="str">
        <f t="shared" si="46"/>
        <v>NA</v>
      </c>
      <c r="N284" s="600" t="b">
        <f t="shared" si="47"/>
        <v>0</v>
      </c>
      <c r="O284" s="612">
        <f t="shared" si="48"/>
        <v>0</v>
      </c>
      <c r="P284" s="613" t="e">
        <f t="shared" si="49"/>
        <v>#N/A</v>
      </c>
      <c r="Q284" s="424" t="e">
        <f t="shared" si="50"/>
        <v>#N/A</v>
      </c>
      <c r="R284" s="611" t="e">
        <f t="shared" si="51"/>
        <v>#N/A</v>
      </c>
      <c r="S284" s="484">
        <f t="shared" si="52"/>
        <v>0</v>
      </c>
      <c r="T284" s="374">
        <f t="shared" si="53"/>
      </c>
      <c r="U284" s="374">
        <f aca="true" t="shared" si="55" ref="U284:U347">IF(F284&gt;0,IF(Q284&lt;R284,"Insufficient lighting to meet IESNA footcandle recommendations.",""),"")</f>
      </c>
    </row>
    <row r="285" spans="1:21" ht="12.75">
      <c r="A285" s="832"/>
      <c r="B285" s="842"/>
      <c r="C285" s="827"/>
      <c r="D285" s="827"/>
      <c r="E285" s="588" t="e">
        <f aca="true" t="shared" si="56" ref="E285:E348">LOOKUP(D285,$W$2:$W$17,$AD$2:$AD$17)</f>
        <v>#N/A</v>
      </c>
      <c r="F285" s="831"/>
      <c r="G285" s="831"/>
      <c r="H285" s="831"/>
      <c r="I285" s="481" t="e">
        <f aca="true" t="shared" si="57" ref="I285:I348">VLOOKUP(G285,$I$2:$K$24,3,FALSE)</f>
        <v>#N/A</v>
      </c>
      <c r="J285" s="834"/>
      <c r="K285" s="482">
        <f t="shared" si="54"/>
        <v>0</v>
      </c>
      <c r="L285" s="483" t="e">
        <f aca="true" t="shared" si="58" ref="L285:L348">IF(D285="Exit Signs","convert to kW",K285/(B285*J285))</f>
        <v>#DIV/0!</v>
      </c>
      <c r="M285" s="483" t="str">
        <f aca="true" t="shared" si="59" ref="M285:M348">IF(H285="Yes",IF(D285="Stairs - Active",0.65*L285,IF(D285="Corridor/Transition",0.75*L285,IF(D285="Conference/meeting/multipurpose",1*L285,IF(D285="Community or Computer Room",1*L285,0.9*L285)))),"NA")</f>
        <v>NA</v>
      </c>
      <c r="N285" s="600" t="b">
        <f aca="true" t="shared" si="60" ref="N285:N348">IF($C$15="Space-By-Space (90.1-2007)",LOOKUP(D285,$W$2:$W$17,$X$2:$X$17),IF($C$15="Space-By-Space (90.1-2010)",LOOKUP(D285,$W$2:$W$17,$Y$2:$Y$17),IF($C$15="Building Area (90.1-2007)",LOOKUP(D285,$W$2:$W$17,$Z$2:$Z$17),IF($C$15="Building Area (90.1-2010)",LOOKUP(D285,$W$2:$W$17,$AA$2:$AA$17),IF($C$15="CA Title 24-2013",LOOKUP(D285,$W$2:$W$17,$AB$2:$AB$17))))))</f>
        <v>0</v>
      </c>
      <c r="O285" s="612">
        <f aca="true" t="shared" si="61" ref="O285:O348">IF(D285="Exit Signs",0,IF(B285&gt;0,N285*B285*J285,0))</f>
        <v>0</v>
      </c>
      <c r="P285" s="613" t="e">
        <f aca="true" t="shared" si="62" ref="P285:P348">LOOKUP(G285,$I$2:$I$24,$J$2:$J$24)*LOOKUP(LOOKUP(G285,$I$2:$I$24,$L$2:$L$24),$AF$2:$AF$17,$AJ$2:$AJ$17)*IF(E285="A",LOOKUP(LOOKUP(G285,$I$2:$I$24,$L$2:$L$24),$AF$2:$AF$17,$AG$2:$AG$17),IF(E285="B",LOOKUP(LOOKUP(G285,$I$2:$I$24,$L$2:$L$24),$AF$2:$AF$17,$AH$2:$AH$17),IF(E285="C",LOOKUP(LOOKUP(G285,$I$2:$I$24,$L$2:$L$24),$AF$2:$AF$17,$AI$2:$AI$17))))</f>
        <v>#N/A</v>
      </c>
      <c r="Q285" s="424" t="e">
        <f aca="true" t="shared" si="63" ref="Q285:Q348">P285*K285/S285</f>
        <v>#N/A</v>
      </c>
      <c r="R285" s="611" t="e">
        <f aca="true" t="shared" si="64" ref="R285:R348">LOOKUP(D285,$W$2:$W$17,$AC$2:$AC$17)</f>
        <v>#N/A</v>
      </c>
      <c r="S285" s="484">
        <f aca="true" t="shared" si="65" ref="S285:S348">B285*J285</f>
        <v>0</v>
      </c>
      <c r="T285" s="374">
        <f aca="true" t="shared" si="66" ref="T285:T348">IF(F285&gt;0,IF(Q285&lt;R285,"Insufficient lighting to meet IESNA footcandle recommendations.",""),"")</f>
      </c>
      <c r="U285" s="374">
        <f t="shared" si="55"/>
      </c>
    </row>
    <row r="286" spans="1:21" ht="12.75">
      <c r="A286" s="832"/>
      <c r="B286" s="842"/>
      <c r="C286" s="846"/>
      <c r="D286" s="827"/>
      <c r="E286" s="588" t="e">
        <f t="shared" si="56"/>
        <v>#N/A</v>
      </c>
      <c r="F286" s="831"/>
      <c r="G286" s="831"/>
      <c r="H286" s="831"/>
      <c r="I286" s="481" t="e">
        <f t="shared" si="57"/>
        <v>#N/A</v>
      </c>
      <c r="J286" s="834"/>
      <c r="K286" s="482">
        <f t="shared" si="54"/>
        <v>0</v>
      </c>
      <c r="L286" s="483" t="e">
        <f t="shared" si="58"/>
        <v>#DIV/0!</v>
      </c>
      <c r="M286" s="483" t="str">
        <f t="shared" si="59"/>
        <v>NA</v>
      </c>
      <c r="N286" s="600" t="b">
        <f t="shared" si="60"/>
        <v>0</v>
      </c>
      <c r="O286" s="612">
        <f t="shared" si="61"/>
        <v>0</v>
      </c>
      <c r="P286" s="613" t="e">
        <f t="shared" si="62"/>
        <v>#N/A</v>
      </c>
      <c r="Q286" s="424" t="e">
        <f t="shared" si="63"/>
        <v>#N/A</v>
      </c>
      <c r="R286" s="611" t="e">
        <f t="shared" si="64"/>
        <v>#N/A</v>
      </c>
      <c r="S286" s="484">
        <f t="shared" si="65"/>
        <v>0</v>
      </c>
      <c r="T286" s="374">
        <f t="shared" si="66"/>
      </c>
      <c r="U286" s="374">
        <f t="shared" si="55"/>
      </c>
    </row>
    <row r="287" spans="1:21" ht="12.75">
      <c r="A287" s="832"/>
      <c r="B287" s="842"/>
      <c r="C287" s="827"/>
      <c r="D287" s="827"/>
      <c r="E287" s="588" t="e">
        <f t="shared" si="56"/>
        <v>#N/A</v>
      </c>
      <c r="F287" s="831"/>
      <c r="G287" s="831"/>
      <c r="H287" s="831"/>
      <c r="I287" s="481" t="e">
        <f t="shared" si="57"/>
        <v>#N/A</v>
      </c>
      <c r="J287" s="834"/>
      <c r="K287" s="482">
        <f t="shared" si="54"/>
        <v>0</v>
      </c>
      <c r="L287" s="483" t="e">
        <f t="shared" si="58"/>
        <v>#DIV/0!</v>
      </c>
      <c r="M287" s="483" t="str">
        <f t="shared" si="59"/>
        <v>NA</v>
      </c>
      <c r="N287" s="600" t="b">
        <f t="shared" si="60"/>
        <v>0</v>
      </c>
      <c r="O287" s="612">
        <f t="shared" si="61"/>
        <v>0</v>
      </c>
      <c r="P287" s="613" t="e">
        <f t="shared" si="62"/>
        <v>#N/A</v>
      </c>
      <c r="Q287" s="424" t="e">
        <f t="shared" si="63"/>
        <v>#N/A</v>
      </c>
      <c r="R287" s="611" t="e">
        <f t="shared" si="64"/>
        <v>#N/A</v>
      </c>
      <c r="S287" s="484">
        <f t="shared" si="65"/>
        <v>0</v>
      </c>
      <c r="T287" s="374">
        <f t="shared" si="66"/>
      </c>
      <c r="U287" s="374">
        <f t="shared" si="55"/>
      </c>
    </row>
    <row r="288" spans="1:21" ht="12.75">
      <c r="A288" s="832"/>
      <c r="B288" s="842"/>
      <c r="C288" s="827"/>
      <c r="D288" s="827"/>
      <c r="E288" s="588" t="e">
        <f t="shared" si="56"/>
        <v>#N/A</v>
      </c>
      <c r="F288" s="831"/>
      <c r="G288" s="831"/>
      <c r="H288" s="831"/>
      <c r="I288" s="481" t="e">
        <f t="shared" si="57"/>
        <v>#N/A</v>
      </c>
      <c r="J288" s="834"/>
      <c r="K288" s="482">
        <f t="shared" si="54"/>
        <v>0</v>
      </c>
      <c r="L288" s="483" t="e">
        <f t="shared" si="58"/>
        <v>#DIV/0!</v>
      </c>
      <c r="M288" s="483" t="str">
        <f t="shared" si="59"/>
        <v>NA</v>
      </c>
      <c r="N288" s="600" t="b">
        <f t="shared" si="60"/>
        <v>0</v>
      </c>
      <c r="O288" s="612">
        <f t="shared" si="61"/>
        <v>0</v>
      </c>
      <c r="P288" s="613" t="e">
        <f t="shared" si="62"/>
        <v>#N/A</v>
      </c>
      <c r="Q288" s="424" t="e">
        <f t="shared" si="63"/>
        <v>#N/A</v>
      </c>
      <c r="R288" s="611" t="e">
        <f t="shared" si="64"/>
        <v>#N/A</v>
      </c>
      <c r="S288" s="484">
        <f t="shared" si="65"/>
        <v>0</v>
      </c>
      <c r="T288" s="374">
        <f t="shared" si="66"/>
      </c>
      <c r="U288" s="374">
        <f t="shared" si="55"/>
      </c>
    </row>
    <row r="289" spans="1:21" ht="12.75">
      <c r="A289" s="832"/>
      <c r="B289" s="842"/>
      <c r="C289" s="827"/>
      <c r="D289" s="827"/>
      <c r="E289" s="588" t="e">
        <f t="shared" si="56"/>
        <v>#N/A</v>
      </c>
      <c r="F289" s="831"/>
      <c r="G289" s="831"/>
      <c r="H289" s="831"/>
      <c r="I289" s="481" t="e">
        <f t="shared" si="57"/>
        <v>#N/A</v>
      </c>
      <c r="J289" s="834"/>
      <c r="K289" s="482">
        <f t="shared" si="54"/>
        <v>0</v>
      </c>
      <c r="L289" s="483" t="e">
        <f t="shared" si="58"/>
        <v>#DIV/0!</v>
      </c>
      <c r="M289" s="483" t="str">
        <f t="shared" si="59"/>
        <v>NA</v>
      </c>
      <c r="N289" s="600" t="b">
        <f t="shared" si="60"/>
        <v>0</v>
      </c>
      <c r="O289" s="612">
        <f t="shared" si="61"/>
        <v>0</v>
      </c>
      <c r="P289" s="613" t="e">
        <f t="shared" si="62"/>
        <v>#N/A</v>
      </c>
      <c r="Q289" s="424" t="e">
        <f t="shared" si="63"/>
        <v>#N/A</v>
      </c>
      <c r="R289" s="611" t="e">
        <f t="shared" si="64"/>
        <v>#N/A</v>
      </c>
      <c r="S289" s="484">
        <f t="shared" si="65"/>
        <v>0</v>
      </c>
      <c r="T289" s="374">
        <f t="shared" si="66"/>
      </c>
      <c r="U289" s="374">
        <f t="shared" si="55"/>
      </c>
    </row>
    <row r="290" spans="1:21" ht="12.75">
      <c r="A290" s="832"/>
      <c r="B290" s="842"/>
      <c r="C290" s="827"/>
      <c r="D290" s="827"/>
      <c r="E290" s="588" t="e">
        <f t="shared" si="56"/>
        <v>#N/A</v>
      </c>
      <c r="F290" s="831"/>
      <c r="G290" s="831"/>
      <c r="H290" s="831"/>
      <c r="I290" s="481" t="e">
        <f t="shared" si="57"/>
        <v>#N/A</v>
      </c>
      <c r="J290" s="834"/>
      <c r="K290" s="482">
        <f aca="true" t="shared" si="67" ref="K290:K353">IF(D290="Exit Signs",0,IF(F290&gt;0,F290*I290*J290,0))</f>
        <v>0</v>
      </c>
      <c r="L290" s="483" t="e">
        <f t="shared" si="58"/>
        <v>#DIV/0!</v>
      </c>
      <c r="M290" s="483" t="str">
        <f t="shared" si="59"/>
        <v>NA</v>
      </c>
      <c r="N290" s="600" t="b">
        <f t="shared" si="60"/>
        <v>0</v>
      </c>
      <c r="O290" s="612">
        <f t="shared" si="61"/>
        <v>0</v>
      </c>
      <c r="P290" s="613" t="e">
        <f t="shared" si="62"/>
        <v>#N/A</v>
      </c>
      <c r="Q290" s="424" t="e">
        <f t="shared" si="63"/>
        <v>#N/A</v>
      </c>
      <c r="R290" s="611" t="e">
        <f t="shared" si="64"/>
        <v>#N/A</v>
      </c>
      <c r="S290" s="484">
        <f t="shared" si="65"/>
        <v>0</v>
      </c>
      <c r="T290" s="374">
        <f t="shared" si="66"/>
      </c>
      <c r="U290" s="374">
        <f t="shared" si="55"/>
      </c>
    </row>
    <row r="291" spans="1:21" ht="12.75">
      <c r="A291" s="832"/>
      <c r="B291" s="842"/>
      <c r="C291" s="827"/>
      <c r="D291" s="827"/>
      <c r="E291" s="588" t="e">
        <f t="shared" si="56"/>
        <v>#N/A</v>
      </c>
      <c r="F291" s="831"/>
      <c r="G291" s="831"/>
      <c r="H291" s="831"/>
      <c r="I291" s="481" t="e">
        <f t="shared" si="57"/>
        <v>#N/A</v>
      </c>
      <c r="J291" s="834"/>
      <c r="K291" s="482">
        <f t="shared" si="67"/>
        <v>0</v>
      </c>
      <c r="L291" s="483" t="e">
        <f t="shared" si="58"/>
        <v>#DIV/0!</v>
      </c>
      <c r="M291" s="483" t="str">
        <f t="shared" si="59"/>
        <v>NA</v>
      </c>
      <c r="N291" s="600" t="b">
        <f t="shared" si="60"/>
        <v>0</v>
      </c>
      <c r="O291" s="612">
        <f t="shared" si="61"/>
        <v>0</v>
      </c>
      <c r="P291" s="613" t="e">
        <f t="shared" si="62"/>
        <v>#N/A</v>
      </c>
      <c r="Q291" s="424" t="e">
        <f t="shared" si="63"/>
        <v>#N/A</v>
      </c>
      <c r="R291" s="611" t="e">
        <f t="shared" si="64"/>
        <v>#N/A</v>
      </c>
      <c r="S291" s="484">
        <f t="shared" si="65"/>
        <v>0</v>
      </c>
      <c r="T291" s="374">
        <f t="shared" si="66"/>
      </c>
      <c r="U291" s="374">
        <f t="shared" si="55"/>
      </c>
    </row>
    <row r="292" spans="1:21" ht="12.75">
      <c r="A292" s="832"/>
      <c r="B292" s="842"/>
      <c r="C292" s="846"/>
      <c r="D292" s="827"/>
      <c r="E292" s="588" t="e">
        <f t="shared" si="56"/>
        <v>#N/A</v>
      </c>
      <c r="F292" s="831"/>
      <c r="G292" s="831"/>
      <c r="H292" s="831"/>
      <c r="I292" s="481" t="e">
        <f t="shared" si="57"/>
        <v>#N/A</v>
      </c>
      <c r="J292" s="834"/>
      <c r="K292" s="482">
        <f t="shared" si="67"/>
        <v>0</v>
      </c>
      <c r="L292" s="483" t="e">
        <f t="shared" si="58"/>
        <v>#DIV/0!</v>
      </c>
      <c r="M292" s="483" t="str">
        <f t="shared" si="59"/>
        <v>NA</v>
      </c>
      <c r="N292" s="600" t="b">
        <f t="shared" si="60"/>
        <v>0</v>
      </c>
      <c r="O292" s="612">
        <f t="shared" si="61"/>
        <v>0</v>
      </c>
      <c r="P292" s="613" t="e">
        <f t="shared" si="62"/>
        <v>#N/A</v>
      </c>
      <c r="Q292" s="424" t="e">
        <f t="shared" si="63"/>
        <v>#N/A</v>
      </c>
      <c r="R292" s="611" t="e">
        <f t="shared" si="64"/>
        <v>#N/A</v>
      </c>
      <c r="S292" s="484">
        <f t="shared" si="65"/>
        <v>0</v>
      </c>
      <c r="T292" s="374">
        <f t="shared" si="66"/>
      </c>
      <c r="U292" s="374">
        <f t="shared" si="55"/>
      </c>
    </row>
    <row r="293" spans="1:21" ht="12.75">
      <c r="A293" s="832"/>
      <c r="B293" s="842"/>
      <c r="C293" s="827"/>
      <c r="D293" s="827"/>
      <c r="E293" s="588" t="e">
        <f t="shared" si="56"/>
        <v>#N/A</v>
      </c>
      <c r="F293" s="831"/>
      <c r="G293" s="831"/>
      <c r="H293" s="831"/>
      <c r="I293" s="481" t="e">
        <f t="shared" si="57"/>
        <v>#N/A</v>
      </c>
      <c r="J293" s="834"/>
      <c r="K293" s="482">
        <f t="shared" si="67"/>
        <v>0</v>
      </c>
      <c r="L293" s="483" t="e">
        <f t="shared" si="58"/>
        <v>#DIV/0!</v>
      </c>
      <c r="M293" s="483" t="str">
        <f t="shared" si="59"/>
        <v>NA</v>
      </c>
      <c r="N293" s="600" t="b">
        <f t="shared" si="60"/>
        <v>0</v>
      </c>
      <c r="O293" s="612">
        <f t="shared" si="61"/>
        <v>0</v>
      </c>
      <c r="P293" s="613" t="e">
        <f t="shared" si="62"/>
        <v>#N/A</v>
      </c>
      <c r="Q293" s="424" t="e">
        <f t="shared" si="63"/>
        <v>#N/A</v>
      </c>
      <c r="R293" s="611" t="e">
        <f t="shared" si="64"/>
        <v>#N/A</v>
      </c>
      <c r="S293" s="484">
        <f t="shared" si="65"/>
        <v>0</v>
      </c>
      <c r="T293" s="374">
        <f t="shared" si="66"/>
      </c>
      <c r="U293" s="374">
        <f t="shared" si="55"/>
      </c>
    </row>
    <row r="294" spans="1:21" ht="12.75">
      <c r="A294" s="832"/>
      <c r="B294" s="842"/>
      <c r="C294" s="827"/>
      <c r="D294" s="827"/>
      <c r="E294" s="588" t="e">
        <f t="shared" si="56"/>
        <v>#N/A</v>
      </c>
      <c r="F294" s="831"/>
      <c r="G294" s="831"/>
      <c r="H294" s="831"/>
      <c r="I294" s="481" t="e">
        <f t="shared" si="57"/>
        <v>#N/A</v>
      </c>
      <c r="J294" s="834"/>
      <c r="K294" s="482">
        <f t="shared" si="67"/>
        <v>0</v>
      </c>
      <c r="L294" s="483" t="e">
        <f t="shared" si="58"/>
        <v>#DIV/0!</v>
      </c>
      <c r="M294" s="483" t="str">
        <f t="shared" si="59"/>
        <v>NA</v>
      </c>
      <c r="N294" s="600" t="b">
        <f t="shared" si="60"/>
        <v>0</v>
      </c>
      <c r="O294" s="612">
        <f t="shared" si="61"/>
        <v>0</v>
      </c>
      <c r="P294" s="613" t="e">
        <f t="shared" si="62"/>
        <v>#N/A</v>
      </c>
      <c r="Q294" s="424" t="e">
        <f t="shared" si="63"/>
        <v>#N/A</v>
      </c>
      <c r="R294" s="611" t="e">
        <f t="shared" si="64"/>
        <v>#N/A</v>
      </c>
      <c r="S294" s="484">
        <f t="shared" si="65"/>
        <v>0</v>
      </c>
      <c r="T294" s="374">
        <f t="shared" si="66"/>
      </c>
      <c r="U294" s="374">
        <f t="shared" si="55"/>
      </c>
    </row>
    <row r="295" spans="1:21" ht="12.75">
      <c r="A295" s="832"/>
      <c r="B295" s="842"/>
      <c r="C295" s="827"/>
      <c r="D295" s="827"/>
      <c r="E295" s="588" t="e">
        <f t="shared" si="56"/>
        <v>#N/A</v>
      </c>
      <c r="F295" s="831"/>
      <c r="G295" s="831"/>
      <c r="H295" s="831"/>
      <c r="I295" s="481" t="e">
        <f t="shared" si="57"/>
        <v>#N/A</v>
      </c>
      <c r="J295" s="834"/>
      <c r="K295" s="482">
        <f t="shared" si="67"/>
        <v>0</v>
      </c>
      <c r="L295" s="483" t="e">
        <f t="shared" si="58"/>
        <v>#DIV/0!</v>
      </c>
      <c r="M295" s="483" t="str">
        <f t="shared" si="59"/>
        <v>NA</v>
      </c>
      <c r="N295" s="600" t="b">
        <f t="shared" si="60"/>
        <v>0</v>
      </c>
      <c r="O295" s="612">
        <f t="shared" si="61"/>
        <v>0</v>
      </c>
      <c r="P295" s="613" t="e">
        <f t="shared" si="62"/>
        <v>#N/A</v>
      </c>
      <c r="Q295" s="424" t="e">
        <f t="shared" si="63"/>
        <v>#N/A</v>
      </c>
      <c r="R295" s="611" t="e">
        <f t="shared" si="64"/>
        <v>#N/A</v>
      </c>
      <c r="S295" s="484">
        <f t="shared" si="65"/>
        <v>0</v>
      </c>
      <c r="T295" s="374">
        <f t="shared" si="66"/>
      </c>
      <c r="U295" s="374">
        <f t="shared" si="55"/>
      </c>
    </row>
    <row r="296" spans="1:21" ht="12.75">
      <c r="A296" s="832"/>
      <c r="B296" s="842"/>
      <c r="C296" s="827"/>
      <c r="D296" s="827"/>
      <c r="E296" s="588" t="e">
        <f t="shared" si="56"/>
        <v>#N/A</v>
      </c>
      <c r="F296" s="831"/>
      <c r="G296" s="831"/>
      <c r="H296" s="831"/>
      <c r="I296" s="481" t="e">
        <f t="shared" si="57"/>
        <v>#N/A</v>
      </c>
      <c r="J296" s="834"/>
      <c r="K296" s="482">
        <f t="shared" si="67"/>
        <v>0</v>
      </c>
      <c r="L296" s="483" t="e">
        <f t="shared" si="58"/>
        <v>#DIV/0!</v>
      </c>
      <c r="M296" s="483" t="str">
        <f t="shared" si="59"/>
        <v>NA</v>
      </c>
      <c r="N296" s="600" t="b">
        <f t="shared" si="60"/>
        <v>0</v>
      </c>
      <c r="O296" s="612">
        <f t="shared" si="61"/>
        <v>0</v>
      </c>
      <c r="P296" s="613" t="e">
        <f t="shared" si="62"/>
        <v>#N/A</v>
      </c>
      <c r="Q296" s="424" t="e">
        <f t="shared" si="63"/>
        <v>#N/A</v>
      </c>
      <c r="R296" s="611" t="e">
        <f t="shared" si="64"/>
        <v>#N/A</v>
      </c>
      <c r="S296" s="484">
        <f t="shared" si="65"/>
        <v>0</v>
      </c>
      <c r="T296" s="374">
        <f t="shared" si="66"/>
      </c>
      <c r="U296" s="374">
        <f t="shared" si="55"/>
      </c>
    </row>
    <row r="297" spans="1:21" ht="12.75">
      <c r="A297" s="832"/>
      <c r="B297" s="842"/>
      <c r="C297" s="827"/>
      <c r="D297" s="827"/>
      <c r="E297" s="588" t="e">
        <f t="shared" si="56"/>
        <v>#N/A</v>
      </c>
      <c r="F297" s="831"/>
      <c r="G297" s="831"/>
      <c r="H297" s="831"/>
      <c r="I297" s="481" t="e">
        <f t="shared" si="57"/>
        <v>#N/A</v>
      </c>
      <c r="J297" s="834"/>
      <c r="K297" s="482">
        <f t="shared" si="67"/>
        <v>0</v>
      </c>
      <c r="L297" s="483" t="e">
        <f t="shared" si="58"/>
        <v>#DIV/0!</v>
      </c>
      <c r="M297" s="483" t="str">
        <f t="shared" si="59"/>
        <v>NA</v>
      </c>
      <c r="N297" s="600" t="b">
        <f t="shared" si="60"/>
        <v>0</v>
      </c>
      <c r="O297" s="612">
        <f t="shared" si="61"/>
        <v>0</v>
      </c>
      <c r="P297" s="613" t="e">
        <f t="shared" si="62"/>
        <v>#N/A</v>
      </c>
      <c r="Q297" s="424" t="e">
        <f t="shared" si="63"/>
        <v>#N/A</v>
      </c>
      <c r="R297" s="611" t="e">
        <f t="shared" si="64"/>
        <v>#N/A</v>
      </c>
      <c r="S297" s="484">
        <f t="shared" si="65"/>
        <v>0</v>
      </c>
      <c r="T297" s="374">
        <f t="shared" si="66"/>
      </c>
      <c r="U297" s="374">
        <f t="shared" si="55"/>
      </c>
    </row>
    <row r="298" spans="1:21" ht="12.75">
      <c r="A298" s="832"/>
      <c r="B298" s="842"/>
      <c r="C298" s="846"/>
      <c r="D298" s="827"/>
      <c r="E298" s="588" t="e">
        <f t="shared" si="56"/>
        <v>#N/A</v>
      </c>
      <c r="F298" s="831"/>
      <c r="G298" s="831"/>
      <c r="H298" s="831"/>
      <c r="I298" s="481" t="e">
        <f t="shared" si="57"/>
        <v>#N/A</v>
      </c>
      <c r="J298" s="834"/>
      <c r="K298" s="482">
        <f t="shared" si="67"/>
        <v>0</v>
      </c>
      <c r="L298" s="483" t="e">
        <f t="shared" si="58"/>
        <v>#DIV/0!</v>
      </c>
      <c r="M298" s="483" t="str">
        <f t="shared" si="59"/>
        <v>NA</v>
      </c>
      <c r="N298" s="600" t="b">
        <f t="shared" si="60"/>
        <v>0</v>
      </c>
      <c r="O298" s="612">
        <f t="shared" si="61"/>
        <v>0</v>
      </c>
      <c r="P298" s="613" t="e">
        <f t="shared" si="62"/>
        <v>#N/A</v>
      </c>
      <c r="Q298" s="424" t="e">
        <f t="shared" si="63"/>
        <v>#N/A</v>
      </c>
      <c r="R298" s="611" t="e">
        <f t="shared" si="64"/>
        <v>#N/A</v>
      </c>
      <c r="S298" s="484">
        <f t="shared" si="65"/>
        <v>0</v>
      </c>
      <c r="T298" s="374">
        <f t="shared" si="66"/>
      </c>
      <c r="U298" s="374">
        <f t="shared" si="55"/>
      </c>
    </row>
    <row r="299" spans="1:21" ht="11.25" customHeight="1">
      <c r="A299" s="832"/>
      <c r="B299" s="842"/>
      <c r="C299" s="827"/>
      <c r="D299" s="827"/>
      <c r="E299" s="588" t="e">
        <f t="shared" si="56"/>
        <v>#N/A</v>
      </c>
      <c r="F299" s="831"/>
      <c r="G299" s="831"/>
      <c r="H299" s="831"/>
      <c r="I299" s="481" t="e">
        <f t="shared" si="57"/>
        <v>#N/A</v>
      </c>
      <c r="J299" s="834"/>
      <c r="K299" s="482">
        <f t="shared" si="67"/>
        <v>0</v>
      </c>
      <c r="L299" s="483" t="e">
        <f t="shared" si="58"/>
        <v>#DIV/0!</v>
      </c>
      <c r="M299" s="483" t="str">
        <f t="shared" si="59"/>
        <v>NA</v>
      </c>
      <c r="N299" s="600" t="b">
        <f t="shared" si="60"/>
        <v>0</v>
      </c>
      <c r="O299" s="612">
        <f t="shared" si="61"/>
        <v>0</v>
      </c>
      <c r="P299" s="613" t="e">
        <f t="shared" si="62"/>
        <v>#N/A</v>
      </c>
      <c r="Q299" s="424" t="e">
        <f t="shared" si="63"/>
        <v>#N/A</v>
      </c>
      <c r="R299" s="611" t="e">
        <f t="shared" si="64"/>
        <v>#N/A</v>
      </c>
      <c r="S299" s="484">
        <f t="shared" si="65"/>
        <v>0</v>
      </c>
      <c r="T299" s="374">
        <f t="shared" si="66"/>
      </c>
      <c r="U299" s="374">
        <f t="shared" si="55"/>
      </c>
    </row>
    <row r="300" spans="1:21" ht="12.75" customHeight="1">
      <c r="A300" s="832"/>
      <c r="B300" s="842"/>
      <c r="C300" s="827"/>
      <c r="D300" s="827"/>
      <c r="E300" s="588" t="e">
        <f t="shared" si="56"/>
        <v>#N/A</v>
      </c>
      <c r="F300" s="831"/>
      <c r="G300" s="831"/>
      <c r="H300" s="831"/>
      <c r="I300" s="481" t="e">
        <f t="shared" si="57"/>
        <v>#N/A</v>
      </c>
      <c r="J300" s="834"/>
      <c r="K300" s="482">
        <f t="shared" si="67"/>
        <v>0</v>
      </c>
      <c r="L300" s="483" t="e">
        <f t="shared" si="58"/>
        <v>#DIV/0!</v>
      </c>
      <c r="M300" s="483" t="str">
        <f t="shared" si="59"/>
        <v>NA</v>
      </c>
      <c r="N300" s="600" t="b">
        <f t="shared" si="60"/>
        <v>0</v>
      </c>
      <c r="O300" s="612">
        <f t="shared" si="61"/>
        <v>0</v>
      </c>
      <c r="P300" s="613" t="e">
        <f t="shared" si="62"/>
        <v>#N/A</v>
      </c>
      <c r="Q300" s="424" t="e">
        <f t="shared" si="63"/>
        <v>#N/A</v>
      </c>
      <c r="R300" s="611" t="e">
        <f t="shared" si="64"/>
        <v>#N/A</v>
      </c>
      <c r="S300" s="484">
        <f t="shared" si="65"/>
        <v>0</v>
      </c>
      <c r="T300" s="374">
        <f t="shared" si="66"/>
      </c>
      <c r="U300" s="374">
        <f t="shared" si="55"/>
      </c>
    </row>
    <row r="301" spans="1:21" ht="12.75" customHeight="1">
      <c r="A301" s="832"/>
      <c r="B301" s="842"/>
      <c r="C301" s="827"/>
      <c r="D301" s="827"/>
      <c r="E301" s="588" t="e">
        <f t="shared" si="56"/>
        <v>#N/A</v>
      </c>
      <c r="F301" s="831"/>
      <c r="G301" s="831"/>
      <c r="H301" s="831"/>
      <c r="I301" s="481" t="e">
        <f t="shared" si="57"/>
        <v>#N/A</v>
      </c>
      <c r="J301" s="834"/>
      <c r="K301" s="482">
        <f t="shared" si="67"/>
        <v>0</v>
      </c>
      <c r="L301" s="483" t="e">
        <f t="shared" si="58"/>
        <v>#DIV/0!</v>
      </c>
      <c r="M301" s="483" t="str">
        <f t="shared" si="59"/>
        <v>NA</v>
      </c>
      <c r="N301" s="600" t="b">
        <f t="shared" si="60"/>
        <v>0</v>
      </c>
      <c r="O301" s="612">
        <f t="shared" si="61"/>
        <v>0</v>
      </c>
      <c r="P301" s="613" t="e">
        <f t="shared" si="62"/>
        <v>#N/A</v>
      </c>
      <c r="Q301" s="424" t="e">
        <f t="shared" si="63"/>
        <v>#N/A</v>
      </c>
      <c r="R301" s="611" t="e">
        <f t="shared" si="64"/>
        <v>#N/A</v>
      </c>
      <c r="S301" s="484">
        <f t="shared" si="65"/>
        <v>0</v>
      </c>
      <c r="T301" s="374">
        <f t="shared" si="66"/>
      </c>
      <c r="U301" s="374">
        <f t="shared" si="55"/>
      </c>
    </row>
    <row r="302" spans="1:21" ht="12.75">
      <c r="A302" s="832"/>
      <c r="B302" s="842"/>
      <c r="C302" s="827"/>
      <c r="D302" s="827"/>
      <c r="E302" s="588" t="e">
        <f t="shared" si="56"/>
        <v>#N/A</v>
      </c>
      <c r="F302" s="831"/>
      <c r="G302" s="831"/>
      <c r="H302" s="831"/>
      <c r="I302" s="481" t="e">
        <f t="shared" si="57"/>
        <v>#N/A</v>
      </c>
      <c r="J302" s="834"/>
      <c r="K302" s="482">
        <f t="shared" si="67"/>
        <v>0</v>
      </c>
      <c r="L302" s="483" t="e">
        <f t="shared" si="58"/>
        <v>#DIV/0!</v>
      </c>
      <c r="M302" s="483" t="str">
        <f t="shared" si="59"/>
        <v>NA</v>
      </c>
      <c r="N302" s="600" t="b">
        <f t="shared" si="60"/>
        <v>0</v>
      </c>
      <c r="O302" s="612">
        <f t="shared" si="61"/>
        <v>0</v>
      </c>
      <c r="P302" s="613" t="e">
        <f t="shared" si="62"/>
        <v>#N/A</v>
      </c>
      <c r="Q302" s="424" t="e">
        <f t="shared" si="63"/>
        <v>#N/A</v>
      </c>
      <c r="R302" s="611" t="e">
        <f t="shared" si="64"/>
        <v>#N/A</v>
      </c>
      <c r="S302" s="484">
        <f t="shared" si="65"/>
        <v>0</v>
      </c>
      <c r="T302" s="374">
        <f t="shared" si="66"/>
      </c>
      <c r="U302" s="374">
        <f t="shared" si="55"/>
      </c>
    </row>
    <row r="303" spans="1:21" ht="12.75">
      <c r="A303" s="832"/>
      <c r="B303" s="842"/>
      <c r="C303" s="827"/>
      <c r="D303" s="827"/>
      <c r="E303" s="588" t="e">
        <f t="shared" si="56"/>
        <v>#N/A</v>
      </c>
      <c r="F303" s="831"/>
      <c r="G303" s="831"/>
      <c r="H303" s="831"/>
      <c r="I303" s="481" t="e">
        <f t="shared" si="57"/>
        <v>#N/A</v>
      </c>
      <c r="J303" s="834"/>
      <c r="K303" s="482">
        <f t="shared" si="67"/>
        <v>0</v>
      </c>
      <c r="L303" s="483" t="e">
        <f t="shared" si="58"/>
        <v>#DIV/0!</v>
      </c>
      <c r="M303" s="483" t="str">
        <f t="shared" si="59"/>
        <v>NA</v>
      </c>
      <c r="N303" s="600" t="b">
        <f t="shared" si="60"/>
        <v>0</v>
      </c>
      <c r="O303" s="612">
        <f t="shared" si="61"/>
        <v>0</v>
      </c>
      <c r="P303" s="613" t="e">
        <f t="shared" si="62"/>
        <v>#N/A</v>
      </c>
      <c r="Q303" s="424" t="e">
        <f t="shared" si="63"/>
        <v>#N/A</v>
      </c>
      <c r="R303" s="611" t="e">
        <f t="shared" si="64"/>
        <v>#N/A</v>
      </c>
      <c r="S303" s="484">
        <f t="shared" si="65"/>
        <v>0</v>
      </c>
      <c r="T303" s="374">
        <f t="shared" si="66"/>
      </c>
      <c r="U303" s="374">
        <f t="shared" si="55"/>
      </c>
    </row>
    <row r="304" spans="1:21" ht="12.75">
      <c r="A304" s="832"/>
      <c r="B304" s="842"/>
      <c r="C304" s="846"/>
      <c r="D304" s="827"/>
      <c r="E304" s="588" t="e">
        <f t="shared" si="56"/>
        <v>#N/A</v>
      </c>
      <c r="F304" s="831"/>
      <c r="G304" s="831"/>
      <c r="H304" s="831"/>
      <c r="I304" s="481" t="e">
        <f t="shared" si="57"/>
        <v>#N/A</v>
      </c>
      <c r="J304" s="834"/>
      <c r="K304" s="482">
        <f t="shared" si="67"/>
        <v>0</v>
      </c>
      <c r="L304" s="483" t="e">
        <f t="shared" si="58"/>
        <v>#DIV/0!</v>
      </c>
      <c r="M304" s="483" t="str">
        <f t="shared" si="59"/>
        <v>NA</v>
      </c>
      <c r="N304" s="600" t="b">
        <f t="shared" si="60"/>
        <v>0</v>
      </c>
      <c r="O304" s="612">
        <f t="shared" si="61"/>
        <v>0</v>
      </c>
      <c r="P304" s="613" t="e">
        <f t="shared" si="62"/>
        <v>#N/A</v>
      </c>
      <c r="Q304" s="424" t="e">
        <f t="shared" si="63"/>
        <v>#N/A</v>
      </c>
      <c r="R304" s="611" t="e">
        <f t="shared" si="64"/>
        <v>#N/A</v>
      </c>
      <c r="S304" s="484">
        <f t="shared" si="65"/>
        <v>0</v>
      </c>
      <c r="T304" s="374">
        <f t="shared" si="66"/>
      </c>
      <c r="U304" s="374">
        <f t="shared" si="55"/>
      </c>
    </row>
    <row r="305" spans="1:21" ht="11.25" customHeight="1">
      <c r="A305" s="832"/>
      <c r="B305" s="842"/>
      <c r="C305" s="827"/>
      <c r="D305" s="827"/>
      <c r="E305" s="588" t="e">
        <f t="shared" si="56"/>
        <v>#N/A</v>
      </c>
      <c r="F305" s="831"/>
      <c r="G305" s="831"/>
      <c r="H305" s="831"/>
      <c r="I305" s="481" t="e">
        <f t="shared" si="57"/>
        <v>#N/A</v>
      </c>
      <c r="J305" s="834"/>
      <c r="K305" s="482">
        <f t="shared" si="67"/>
        <v>0</v>
      </c>
      <c r="L305" s="483" t="e">
        <f t="shared" si="58"/>
        <v>#DIV/0!</v>
      </c>
      <c r="M305" s="483" t="str">
        <f t="shared" si="59"/>
        <v>NA</v>
      </c>
      <c r="N305" s="600" t="b">
        <f t="shared" si="60"/>
        <v>0</v>
      </c>
      <c r="O305" s="612">
        <f t="shared" si="61"/>
        <v>0</v>
      </c>
      <c r="P305" s="613" t="e">
        <f t="shared" si="62"/>
        <v>#N/A</v>
      </c>
      <c r="Q305" s="424" t="e">
        <f t="shared" si="63"/>
        <v>#N/A</v>
      </c>
      <c r="R305" s="611" t="e">
        <f t="shared" si="64"/>
        <v>#N/A</v>
      </c>
      <c r="S305" s="484">
        <f t="shared" si="65"/>
        <v>0</v>
      </c>
      <c r="T305" s="374">
        <f t="shared" si="66"/>
      </c>
      <c r="U305" s="374">
        <f t="shared" si="55"/>
      </c>
    </row>
    <row r="306" spans="1:21" ht="12.75">
      <c r="A306" s="832"/>
      <c r="B306" s="842"/>
      <c r="C306" s="827"/>
      <c r="D306" s="827"/>
      <c r="E306" s="588" t="e">
        <f t="shared" si="56"/>
        <v>#N/A</v>
      </c>
      <c r="F306" s="831"/>
      <c r="G306" s="831"/>
      <c r="H306" s="831"/>
      <c r="I306" s="481" t="e">
        <f t="shared" si="57"/>
        <v>#N/A</v>
      </c>
      <c r="J306" s="834"/>
      <c r="K306" s="482">
        <f t="shared" si="67"/>
        <v>0</v>
      </c>
      <c r="L306" s="483" t="e">
        <f t="shared" si="58"/>
        <v>#DIV/0!</v>
      </c>
      <c r="M306" s="483" t="str">
        <f t="shared" si="59"/>
        <v>NA</v>
      </c>
      <c r="N306" s="600" t="b">
        <f t="shared" si="60"/>
        <v>0</v>
      </c>
      <c r="O306" s="612">
        <f t="shared" si="61"/>
        <v>0</v>
      </c>
      <c r="P306" s="613" t="e">
        <f t="shared" si="62"/>
        <v>#N/A</v>
      </c>
      <c r="Q306" s="424" t="e">
        <f t="shared" si="63"/>
        <v>#N/A</v>
      </c>
      <c r="R306" s="611" t="e">
        <f t="shared" si="64"/>
        <v>#N/A</v>
      </c>
      <c r="S306" s="484">
        <f t="shared" si="65"/>
        <v>0</v>
      </c>
      <c r="T306" s="374">
        <f t="shared" si="66"/>
      </c>
      <c r="U306" s="374">
        <f t="shared" si="55"/>
      </c>
    </row>
    <row r="307" spans="1:21" ht="12.75">
      <c r="A307" s="832"/>
      <c r="B307" s="842"/>
      <c r="C307" s="827"/>
      <c r="D307" s="827"/>
      <c r="E307" s="588" t="e">
        <f t="shared" si="56"/>
        <v>#N/A</v>
      </c>
      <c r="F307" s="831"/>
      <c r="G307" s="831"/>
      <c r="H307" s="831"/>
      <c r="I307" s="481" t="e">
        <f t="shared" si="57"/>
        <v>#N/A</v>
      </c>
      <c r="J307" s="834"/>
      <c r="K307" s="482">
        <f t="shared" si="67"/>
        <v>0</v>
      </c>
      <c r="L307" s="483" t="e">
        <f t="shared" si="58"/>
        <v>#DIV/0!</v>
      </c>
      <c r="M307" s="483" t="str">
        <f t="shared" si="59"/>
        <v>NA</v>
      </c>
      <c r="N307" s="600" t="b">
        <f t="shared" si="60"/>
        <v>0</v>
      </c>
      <c r="O307" s="612">
        <f t="shared" si="61"/>
        <v>0</v>
      </c>
      <c r="P307" s="613" t="e">
        <f t="shared" si="62"/>
        <v>#N/A</v>
      </c>
      <c r="Q307" s="424" t="e">
        <f t="shared" si="63"/>
        <v>#N/A</v>
      </c>
      <c r="R307" s="611" t="e">
        <f t="shared" si="64"/>
        <v>#N/A</v>
      </c>
      <c r="S307" s="484">
        <f t="shared" si="65"/>
        <v>0</v>
      </c>
      <c r="T307" s="374">
        <f t="shared" si="66"/>
      </c>
      <c r="U307" s="374">
        <f t="shared" si="55"/>
      </c>
    </row>
    <row r="308" spans="1:21" ht="12.75">
      <c r="A308" s="832"/>
      <c r="B308" s="842"/>
      <c r="C308" s="827"/>
      <c r="D308" s="827"/>
      <c r="E308" s="588" t="e">
        <f t="shared" si="56"/>
        <v>#N/A</v>
      </c>
      <c r="F308" s="831"/>
      <c r="G308" s="831"/>
      <c r="H308" s="831"/>
      <c r="I308" s="481" t="e">
        <f t="shared" si="57"/>
        <v>#N/A</v>
      </c>
      <c r="J308" s="834"/>
      <c r="K308" s="482">
        <f t="shared" si="67"/>
        <v>0</v>
      </c>
      <c r="L308" s="483" t="e">
        <f t="shared" si="58"/>
        <v>#DIV/0!</v>
      </c>
      <c r="M308" s="483" t="str">
        <f t="shared" si="59"/>
        <v>NA</v>
      </c>
      <c r="N308" s="600" t="b">
        <f t="shared" si="60"/>
        <v>0</v>
      </c>
      <c r="O308" s="612">
        <f t="shared" si="61"/>
        <v>0</v>
      </c>
      <c r="P308" s="613" t="e">
        <f t="shared" si="62"/>
        <v>#N/A</v>
      </c>
      <c r="Q308" s="424" t="e">
        <f t="shared" si="63"/>
        <v>#N/A</v>
      </c>
      <c r="R308" s="611" t="e">
        <f t="shared" si="64"/>
        <v>#N/A</v>
      </c>
      <c r="S308" s="484">
        <f t="shared" si="65"/>
        <v>0</v>
      </c>
      <c r="T308" s="374">
        <f t="shared" si="66"/>
      </c>
      <c r="U308" s="374">
        <f t="shared" si="55"/>
      </c>
    </row>
    <row r="309" spans="1:21" ht="12.75">
      <c r="A309" s="832"/>
      <c r="B309" s="842"/>
      <c r="C309" s="827"/>
      <c r="D309" s="827"/>
      <c r="E309" s="588" t="e">
        <f t="shared" si="56"/>
        <v>#N/A</v>
      </c>
      <c r="F309" s="831"/>
      <c r="G309" s="831"/>
      <c r="H309" s="831"/>
      <c r="I309" s="481" t="e">
        <f t="shared" si="57"/>
        <v>#N/A</v>
      </c>
      <c r="J309" s="834"/>
      <c r="K309" s="482">
        <f t="shared" si="67"/>
        <v>0</v>
      </c>
      <c r="L309" s="483" t="e">
        <f t="shared" si="58"/>
        <v>#DIV/0!</v>
      </c>
      <c r="M309" s="483" t="str">
        <f t="shared" si="59"/>
        <v>NA</v>
      </c>
      <c r="N309" s="600" t="b">
        <f t="shared" si="60"/>
        <v>0</v>
      </c>
      <c r="O309" s="612">
        <f t="shared" si="61"/>
        <v>0</v>
      </c>
      <c r="P309" s="613" t="e">
        <f t="shared" si="62"/>
        <v>#N/A</v>
      </c>
      <c r="Q309" s="424" t="e">
        <f t="shared" si="63"/>
        <v>#N/A</v>
      </c>
      <c r="R309" s="611" t="e">
        <f t="shared" si="64"/>
        <v>#N/A</v>
      </c>
      <c r="S309" s="484">
        <f t="shared" si="65"/>
        <v>0</v>
      </c>
      <c r="T309" s="374">
        <f t="shared" si="66"/>
      </c>
      <c r="U309" s="374">
        <f t="shared" si="55"/>
      </c>
    </row>
    <row r="310" spans="1:21" ht="12.75">
      <c r="A310" s="832"/>
      <c r="B310" s="842"/>
      <c r="C310" s="846"/>
      <c r="D310" s="827"/>
      <c r="E310" s="588" t="e">
        <f t="shared" si="56"/>
        <v>#N/A</v>
      </c>
      <c r="F310" s="831"/>
      <c r="G310" s="831"/>
      <c r="H310" s="831"/>
      <c r="I310" s="481" t="e">
        <f t="shared" si="57"/>
        <v>#N/A</v>
      </c>
      <c r="J310" s="834"/>
      <c r="K310" s="482">
        <f t="shared" si="67"/>
        <v>0</v>
      </c>
      <c r="L310" s="483" t="e">
        <f t="shared" si="58"/>
        <v>#DIV/0!</v>
      </c>
      <c r="M310" s="483" t="str">
        <f t="shared" si="59"/>
        <v>NA</v>
      </c>
      <c r="N310" s="600" t="b">
        <f t="shared" si="60"/>
        <v>0</v>
      </c>
      <c r="O310" s="612">
        <f t="shared" si="61"/>
        <v>0</v>
      </c>
      <c r="P310" s="613" t="e">
        <f t="shared" si="62"/>
        <v>#N/A</v>
      </c>
      <c r="Q310" s="424" t="e">
        <f t="shared" si="63"/>
        <v>#N/A</v>
      </c>
      <c r="R310" s="611" t="e">
        <f t="shared" si="64"/>
        <v>#N/A</v>
      </c>
      <c r="S310" s="484">
        <f t="shared" si="65"/>
        <v>0</v>
      </c>
      <c r="T310" s="374">
        <f t="shared" si="66"/>
      </c>
      <c r="U310" s="374">
        <f t="shared" si="55"/>
      </c>
    </row>
    <row r="311" spans="1:21" ht="11.25" customHeight="1">
      <c r="A311" s="832"/>
      <c r="B311" s="842"/>
      <c r="C311" s="827"/>
      <c r="D311" s="827"/>
      <c r="E311" s="588" t="e">
        <f t="shared" si="56"/>
        <v>#N/A</v>
      </c>
      <c r="F311" s="831"/>
      <c r="G311" s="831"/>
      <c r="H311" s="831"/>
      <c r="I311" s="481" t="e">
        <f t="shared" si="57"/>
        <v>#N/A</v>
      </c>
      <c r="J311" s="834"/>
      <c r="K311" s="482">
        <f t="shared" si="67"/>
        <v>0</v>
      </c>
      <c r="L311" s="483" t="e">
        <f t="shared" si="58"/>
        <v>#DIV/0!</v>
      </c>
      <c r="M311" s="483" t="str">
        <f t="shared" si="59"/>
        <v>NA</v>
      </c>
      <c r="N311" s="600" t="b">
        <f t="shared" si="60"/>
        <v>0</v>
      </c>
      <c r="O311" s="612">
        <f t="shared" si="61"/>
        <v>0</v>
      </c>
      <c r="P311" s="613" t="e">
        <f t="shared" si="62"/>
        <v>#N/A</v>
      </c>
      <c r="Q311" s="424" t="e">
        <f t="shared" si="63"/>
        <v>#N/A</v>
      </c>
      <c r="R311" s="611" t="e">
        <f t="shared" si="64"/>
        <v>#N/A</v>
      </c>
      <c r="S311" s="484">
        <f t="shared" si="65"/>
        <v>0</v>
      </c>
      <c r="T311" s="374">
        <f t="shared" si="66"/>
      </c>
      <c r="U311" s="374">
        <f t="shared" si="55"/>
      </c>
    </row>
    <row r="312" spans="1:21" ht="12.75">
      <c r="A312" s="832"/>
      <c r="B312" s="842"/>
      <c r="C312" s="827"/>
      <c r="D312" s="827"/>
      <c r="E312" s="588" t="e">
        <f t="shared" si="56"/>
        <v>#N/A</v>
      </c>
      <c r="F312" s="831"/>
      <c r="G312" s="831"/>
      <c r="H312" s="831"/>
      <c r="I312" s="481" t="e">
        <f t="shared" si="57"/>
        <v>#N/A</v>
      </c>
      <c r="J312" s="834"/>
      <c r="K312" s="482">
        <f t="shared" si="67"/>
        <v>0</v>
      </c>
      <c r="L312" s="483" t="e">
        <f t="shared" si="58"/>
        <v>#DIV/0!</v>
      </c>
      <c r="M312" s="483" t="str">
        <f t="shared" si="59"/>
        <v>NA</v>
      </c>
      <c r="N312" s="600" t="b">
        <f t="shared" si="60"/>
        <v>0</v>
      </c>
      <c r="O312" s="612">
        <f t="shared" si="61"/>
        <v>0</v>
      </c>
      <c r="P312" s="613" t="e">
        <f t="shared" si="62"/>
        <v>#N/A</v>
      </c>
      <c r="Q312" s="424" t="e">
        <f t="shared" si="63"/>
        <v>#N/A</v>
      </c>
      <c r="R312" s="611" t="e">
        <f t="shared" si="64"/>
        <v>#N/A</v>
      </c>
      <c r="S312" s="484">
        <f t="shared" si="65"/>
        <v>0</v>
      </c>
      <c r="T312" s="374">
        <f t="shared" si="66"/>
      </c>
      <c r="U312" s="374">
        <f t="shared" si="55"/>
      </c>
    </row>
    <row r="313" spans="1:21" ht="12.75">
      <c r="A313" s="832"/>
      <c r="B313" s="842"/>
      <c r="C313" s="827"/>
      <c r="D313" s="827"/>
      <c r="E313" s="588" t="e">
        <f t="shared" si="56"/>
        <v>#N/A</v>
      </c>
      <c r="F313" s="831"/>
      <c r="G313" s="831"/>
      <c r="H313" s="831"/>
      <c r="I313" s="481" t="e">
        <f t="shared" si="57"/>
        <v>#N/A</v>
      </c>
      <c r="J313" s="834"/>
      <c r="K313" s="482">
        <f t="shared" si="67"/>
        <v>0</v>
      </c>
      <c r="L313" s="483" t="e">
        <f t="shared" si="58"/>
        <v>#DIV/0!</v>
      </c>
      <c r="M313" s="483" t="str">
        <f t="shared" si="59"/>
        <v>NA</v>
      </c>
      <c r="N313" s="600" t="b">
        <f t="shared" si="60"/>
        <v>0</v>
      </c>
      <c r="O313" s="612">
        <f t="shared" si="61"/>
        <v>0</v>
      </c>
      <c r="P313" s="613" t="e">
        <f t="shared" si="62"/>
        <v>#N/A</v>
      </c>
      <c r="Q313" s="424" t="e">
        <f t="shared" si="63"/>
        <v>#N/A</v>
      </c>
      <c r="R313" s="611" t="e">
        <f t="shared" si="64"/>
        <v>#N/A</v>
      </c>
      <c r="S313" s="484">
        <f t="shared" si="65"/>
        <v>0</v>
      </c>
      <c r="T313" s="374">
        <f t="shared" si="66"/>
      </c>
      <c r="U313" s="374">
        <f t="shared" si="55"/>
      </c>
    </row>
    <row r="314" spans="1:21" ht="12.75">
      <c r="A314" s="832"/>
      <c r="B314" s="842"/>
      <c r="C314" s="827"/>
      <c r="D314" s="827"/>
      <c r="E314" s="588" t="e">
        <f t="shared" si="56"/>
        <v>#N/A</v>
      </c>
      <c r="F314" s="831"/>
      <c r="G314" s="831"/>
      <c r="H314" s="831"/>
      <c r="I314" s="481" t="e">
        <f t="shared" si="57"/>
        <v>#N/A</v>
      </c>
      <c r="J314" s="834"/>
      <c r="K314" s="482">
        <f t="shared" si="67"/>
        <v>0</v>
      </c>
      <c r="L314" s="483" t="e">
        <f t="shared" si="58"/>
        <v>#DIV/0!</v>
      </c>
      <c r="M314" s="483" t="str">
        <f t="shared" si="59"/>
        <v>NA</v>
      </c>
      <c r="N314" s="600" t="b">
        <f t="shared" si="60"/>
        <v>0</v>
      </c>
      <c r="O314" s="612">
        <f t="shared" si="61"/>
        <v>0</v>
      </c>
      <c r="P314" s="613" t="e">
        <f t="shared" si="62"/>
        <v>#N/A</v>
      </c>
      <c r="Q314" s="424" t="e">
        <f t="shared" si="63"/>
        <v>#N/A</v>
      </c>
      <c r="R314" s="611" t="e">
        <f t="shared" si="64"/>
        <v>#N/A</v>
      </c>
      <c r="S314" s="484">
        <f t="shared" si="65"/>
        <v>0</v>
      </c>
      <c r="T314" s="374">
        <f t="shared" si="66"/>
      </c>
      <c r="U314" s="374">
        <f t="shared" si="55"/>
      </c>
    </row>
    <row r="315" spans="1:21" ht="12.75">
      <c r="A315" s="832"/>
      <c r="B315" s="842"/>
      <c r="C315" s="827"/>
      <c r="D315" s="827"/>
      <c r="E315" s="588" t="e">
        <f t="shared" si="56"/>
        <v>#N/A</v>
      </c>
      <c r="F315" s="831"/>
      <c r="G315" s="831"/>
      <c r="H315" s="831"/>
      <c r="I315" s="481" t="e">
        <f t="shared" si="57"/>
        <v>#N/A</v>
      </c>
      <c r="J315" s="834"/>
      <c r="K315" s="482">
        <f t="shared" si="67"/>
        <v>0</v>
      </c>
      <c r="L315" s="483" t="e">
        <f t="shared" si="58"/>
        <v>#DIV/0!</v>
      </c>
      <c r="M315" s="483" t="str">
        <f t="shared" si="59"/>
        <v>NA</v>
      </c>
      <c r="N315" s="600" t="b">
        <f t="shared" si="60"/>
        <v>0</v>
      </c>
      <c r="O315" s="612">
        <f t="shared" si="61"/>
        <v>0</v>
      </c>
      <c r="P315" s="613" t="e">
        <f t="shared" si="62"/>
        <v>#N/A</v>
      </c>
      <c r="Q315" s="424" t="e">
        <f t="shared" si="63"/>
        <v>#N/A</v>
      </c>
      <c r="R315" s="611" t="e">
        <f t="shared" si="64"/>
        <v>#N/A</v>
      </c>
      <c r="S315" s="484">
        <f t="shared" si="65"/>
        <v>0</v>
      </c>
      <c r="T315" s="374">
        <f t="shared" si="66"/>
      </c>
      <c r="U315" s="374">
        <f t="shared" si="55"/>
      </c>
    </row>
    <row r="316" spans="1:21" ht="12.75">
      <c r="A316" s="832"/>
      <c r="B316" s="842"/>
      <c r="C316" s="846"/>
      <c r="D316" s="827"/>
      <c r="E316" s="588" t="e">
        <f t="shared" si="56"/>
        <v>#N/A</v>
      </c>
      <c r="F316" s="831"/>
      <c r="G316" s="831"/>
      <c r="H316" s="831"/>
      <c r="I316" s="481" t="e">
        <f t="shared" si="57"/>
        <v>#N/A</v>
      </c>
      <c r="J316" s="834"/>
      <c r="K316" s="482">
        <f t="shared" si="67"/>
        <v>0</v>
      </c>
      <c r="L316" s="483" t="e">
        <f t="shared" si="58"/>
        <v>#DIV/0!</v>
      </c>
      <c r="M316" s="483" t="str">
        <f t="shared" si="59"/>
        <v>NA</v>
      </c>
      <c r="N316" s="600" t="b">
        <f t="shared" si="60"/>
        <v>0</v>
      </c>
      <c r="O316" s="612">
        <f t="shared" si="61"/>
        <v>0</v>
      </c>
      <c r="P316" s="613" t="e">
        <f t="shared" si="62"/>
        <v>#N/A</v>
      </c>
      <c r="Q316" s="424" t="e">
        <f t="shared" si="63"/>
        <v>#N/A</v>
      </c>
      <c r="R316" s="611" t="e">
        <f t="shared" si="64"/>
        <v>#N/A</v>
      </c>
      <c r="S316" s="484">
        <f t="shared" si="65"/>
        <v>0</v>
      </c>
      <c r="T316" s="374">
        <f t="shared" si="66"/>
      </c>
      <c r="U316" s="374">
        <f t="shared" si="55"/>
      </c>
    </row>
    <row r="317" spans="1:21" ht="11.25" customHeight="1">
      <c r="A317" s="832"/>
      <c r="B317" s="842"/>
      <c r="C317" s="827"/>
      <c r="D317" s="827"/>
      <c r="E317" s="588" t="e">
        <f t="shared" si="56"/>
        <v>#N/A</v>
      </c>
      <c r="F317" s="831"/>
      <c r="G317" s="831"/>
      <c r="H317" s="831"/>
      <c r="I317" s="481" t="e">
        <f t="shared" si="57"/>
        <v>#N/A</v>
      </c>
      <c r="J317" s="834"/>
      <c r="K317" s="482">
        <f t="shared" si="67"/>
        <v>0</v>
      </c>
      <c r="L317" s="483" t="e">
        <f t="shared" si="58"/>
        <v>#DIV/0!</v>
      </c>
      <c r="M317" s="483" t="str">
        <f t="shared" si="59"/>
        <v>NA</v>
      </c>
      <c r="N317" s="600" t="b">
        <f t="shared" si="60"/>
        <v>0</v>
      </c>
      <c r="O317" s="612">
        <f t="shared" si="61"/>
        <v>0</v>
      </c>
      <c r="P317" s="613" t="e">
        <f t="shared" si="62"/>
        <v>#N/A</v>
      </c>
      <c r="Q317" s="424" t="e">
        <f t="shared" si="63"/>
        <v>#N/A</v>
      </c>
      <c r="R317" s="611" t="e">
        <f t="shared" si="64"/>
        <v>#N/A</v>
      </c>
      <c r="S317" s="484">
        <f t="shared" si="65"/>
        <v>0</v>
      </c>
      <c r="T317" s="374">
        <f t="shared" si="66"/>
      </c>
      <c r="U317" s="374">
        <f t="shared" si="55"/>
      </c>
    </row>
    <row r="318" spans="1:21" ht="12.75">
      <c r="A318" s="832"/>
      <c r="B318" s="842"/>
      <c r="C318" s="827"/>
      <c r="D318" s="827"/>
      <c r="E318" s="588" t="e">
        <f t="shared" si="56"/>
        <v>#N/A</v>
      </c>
      <c r="F318" s="831"/>
      <c r="G318" s="831"/>
      <c r="H318" s="831"/>
      <c r="I318" s="481" t="e">
        <f t="shared" si="57"/>
        <v>#N/A</v>
      </c>
      <c r="J318" s="834"/>
      <c r="K318" s="482">
        <f t="shared" si="67"/>
        <v>0</v>
      </c>
      <c r="L318" s="483" t="e">
        <f t="shared" si="58"/>
        <v>#DIV/0!</v>
      </c>
      <c r="M318" s="483" t="str">
        <f t="shared" si="59"/>
        <v>NA</v>
      </c>
      <c r="N318" s="600" t="b">
        <f t="shared" si="60"/>
        <v>0</v>
      </c>
      <c r="O318" s="612">
        <f t="shared" si="61"/>
        <v>0</v>
      </c>
      <c r="P318" s="613" t="e">
        <f t="shared" si="62"/>
        <v>#N/A</v>
      </c>
      <c r="Q318" s="424" t="e">
        <f t="shared" si="63"/>
        <v>#N/A</v>
      </c>
      <c r="R318" s="611" t="e">
        <f t="shared" si="64"/>
        <v>#N/A</v>
      </c>
      <c r="S318" s="484">
        <f t="shared" si="65"/>
        <v>0</v>
      </c>
      <c r="T318" s="374">
        <f t="shared" si="66"/>
      </c>
      <c r="U318" s="374">
        <f t="shared" si="55"/>
      </c>
    </row>
    <row r="319" spans="1:21" ht="12.75">
      <c r="A319" s="832"/>
      <c r="B319" s="842"/>
      <c r="C319" s="827"/>
      <c r="D319" s="827"/>
      <c r="E319" s="588" t="e">
        <f t="shared" si="56"/>
        <v>#N/A</v>
      </c>
      <c r="F319" s="831"/>
      <c r="G319" s="831"/>
      <c r="H319" s="831"/>
      <c r="I319" s="481" t="e">
        <f t="shared" si="57"/>
        <v>#N/A</v>
      </c>
      <c r="J319" s="834"/>
      <c r="K319" s="482">
        <f t="shared" si="67"/>
        <v>0</v>
      </c>
      <c r="L319" s="483" t="e">
        <f t="shared" si="58"/>
        <v>#DIV/0!</v>
      </c>
      <c r="M319" s="483" t="str">
        <f t="shared" si="59"/>
        <v>NA</v>
      </c>
      <c r="N319" s="600" t="b">
        <f t="shared" si="60"/>
        <v>0</v>
      </c>
      <c r="O319" s="612">
        <f t="shared" si="61"/>
        <v>0</v>
      </c>
      <c r="P319" s="613" t="e">
        <f t="shared" si="62"/>
        <v>#N/A</v>
      </c>
      <c r="Q319" s="424" t="e">
        <f t="shared" si="63"/>
        <v>#N/A</v>
      </c>
      <c r="R319" s="611" t="e">
        <f t="shared" si="64"/>
        <v>#N/A</v>
      </c>
      <c r="S319" s="484">
        <f t="shared" si="65"/>
        <v>0</v>
      </c>
      <c r="T319" s="374">
        <f t="shared" si="66"/>
      </c>
      <c r="U319" s="374">
        <f t="shared" si="55"/>
      </c>
    </row>
    <row r="320" spans="1:21" ht="12.75">
      <c r="A320" s="832"/>
      <c r="B320" s="842"/>
      <c r="C320" s="827"/>
      <c r="D320" s="827"/>
      <c r="E320" s="588" t="e">
        <f t="shared" si="56"/>
        <v>#N/A</v>
      </c>
      <c r="F320" s="831"/>
      <c r="G320" s="831"/>
      <c r="H320" s="831"/>
      <c r="I320" s="481" t="e">
        <f t="shared" si="57"/>
        <v>#N/A</v>
      </c>
      <c r="J320" s="834"/>
      <c r="K320" s="482">
        <f t="shared" si="67"/>
        <v>0</v>
      </c>
      <c r="L320" s="483" t="e">
        <f t="shared" si="58"/>
        <v>#DIV/0!</v>
      </c>
      <c r="M320" s="483" t="str">
        <f t="shared" si="59"/>
        <v>NA</v>
      </c>
      <c r="N320" s="600" t="b">
        <f t="shared" si="60"/>
        <v>0</v>
      </c>
      <c r="O320" s="612">
        <f t="shared" si="61"/>
        <v>0</v>
      </c>
      <c r="P320" s="613" t="e">
        <f t="shared" si="62"/>
        <v>#N/A</v>
      </c>
      <c r="Q320" s="424" t="e">
        <f t="shared" si="63"/>
        <v>#N/A</v>
      </c>
      <c r="R320" s="611" t="e">
        <f t="shared" si="64"/>
        <v>#N/A</v>
      </c>
      <c r="S320" s="484">
        <f t="shared" si="65"/>
        <v>0</v>
      </c>
      <c r="T320" s="374">
        <f t="shared" si="66"/>
      </c>
      <c r="U320" s="374">
        <f t="shared" si="55"/>
      </c>
    </row>
    <row r="321" spans="1:21" ht="12.75">
      <c r="A321" s="832"/>
      <c r="B321" s="842"/>
      <c r="C321" s="827"/>
      <c r="D321" s="827"/>
      <c r="E321" s="588" t="e">
        <f t="shared" si="56"/>
        <v>#N/A</v>
      </c>
      <c r="F321" s="831"/>
      <c r="G321" s="831"/>
      <c r="H321" s="831"/>
      <c r="I321" s="481" t="e">
        <f t="shared" si="57"/>
        <v>#N/A</v>
      </c>
      <c r="J321" s="834"/>
      <c r="K321" s="482">
        <f t="shared" si="67"/>
        <v>0</v>
      </c>
      <c r="L321" s="483" t="e">
        <f t="shared" si="58"/>
        <v>#DIV/0!</v>
      </c>
      <c r="M321" s="483" t="str">
        <f t="shared" si="59"/>
        <v>NA</v>
      </c>
      <c r="N321" s="600" t="b">
        <f t="shared" si="60"/>
        <v>0</v>
      </c>
      <c r="O321" s="612">
        <f t="shared" si="61"/>
        <v>0</v>
      </c>
      <c r="P321" s="613" t="e">
        <f t="shared" si="62"/>
        <v>#N/A</v>
      </c>
      <c r="Q321" s="424" t="e">
        <f t="shared" si="63"/>
        <v>#N/A</v>
      </c>
      <c r="R321" s="611" t="e">
        <f t="shared" si="64"/>
        <v>#N/A</v>
      </c>
      <c r="S321" s="484">
        <f t="shared" si="65"/>
        <v>0</v>
      </c>
      <c r="T321" s="374">
        <f t="shared" si="66"/>
      </c>
      <c r="U321" s="374">
        <f t="shared" si="55"/>
      </c>
    </row>
    <row r="322" spans="1:21" ht="12.75">
      <c r="A322" s="832"/>
      <c r="B322" s="842"/>
      <c r="C322" s="846"/>
      <c r="D322" s="827"/>
      <c r="E322" s="588" t="e">
        <f t="shared" si="56"/>
        <v>#N/A</v>
      </c>
      <c r="F322" s="831"/>
      <c r="G322" s="831"/>
      <c r="H322" s="831"/>
      <c r="I322" s="481" t="e">
        <f t="shared" si="57"/>
        <v>#N/A</v>
      </c>
      <c r="J322" s="834"/>
      <c r="K322" s="482">
        <f t="shared" si="67"/>
        <v>0</v>
      </c>
      <c r="L322" s="483" t="e">
        <f t="shared" si="58"/>
        <v>#DIV/0!</v>
      </c>
      <c r="M322" s="483" t="str">
        <f t="shared" si="59"/>
        <v>NA</v>
      </c>
      <c r="N322" s="600" t="b">
        <f t="shared" si="60"/>
        <v>0</v>
      </c>
      <c r="O322" s="612">
        <f t="shared" si="61"/>
        <v>0</v>
      </c>
      <c r="P322" s="613" t="e">
        <f t="shared" si="62"/>
        <v>#N/A</v>
      </c>
      <c r="Q322" s="424" t="e">
        <f t="shared" si="63"/>
        <v>#N/A</v>
      </c>
      <c r="R322" s="611" t="e">
        <f t="shared" si="64"/>
        <v>#N/A</v>
      </c>
      <c r="S322" s="484">
        <f t="shared" si="65"/>
        <v>0</v>
      </c>
      <c r="T322" s="374">
        <f t="shared" si="66"/>
      </c>
      <c r="U322" s="374">
        <f t="shared" si="55"/>
      </c>
    </row>
    <row r="323" spans="1:21" ht="11.25" customHeight="1">
      <c r="A323" s="832"/>
      <c r="B323" s="842"/>
      <c r="C323" s="827"/>
      <c r="D323" s="827"/>
      <c r="E323" s="588" t="e">
        <f t="shared" si="56"/>
        <v>#N/A</v>
      </c>
      <c r="F323" s="831"/>
      <c r="G323" s="831"/>
      <c r="H323" s="831"/>
      <c r="I323" s="481" t="e">
        <f t="shared" si="57"/>
        <v>#N/A</v>
      </c>
      <c r="J323" s="834"/>
      <c r="K323" s="482">
        <f t="shared" si="67"/>
        <v>0</v>
      </c>
      <c r="L323" s="483" t="e">
        <f t="shared" si="58"/>
        <v>#DIV/0!</v>
      </c>
      <c r="M323" s="483" t="str">
        <f t="shared" si="59"/>
        <v>NA</v>
      </c>
      <c r="N323" s="600" t="b">
        <f t="shared" si="60"/>
        <v>0</v>
      </c>
      <c r="O323" s="612">
        <f t="shared" si="61"/>
        <v>0</v>
      </c>
      <c r="P323" s="613" t="e">
        <f t="shared" si="62"/>
        <v>#N/A</v>
      </c>
      <c r="Q323" s="424" t="e">
        <f t="shared" si="63"/>
        <v>#N/A</v>
      </c>
      <c r="R323" s="611" t="e">
        <f t="shared" si="64"/>
        <v>#N/A</v>
      </c>
      <c r="S323" s="484">
        <f t="shared" si="65"/>
        <v>0</v>
      </c>
      <c r="T323" s="374">
        <f t="shared" si="66"/>
      </c>
      <c r="U323" s="374">
        <f t="shared" si="55"/>
      </c>
    </row>
    <row r="324" spans="1:21" ht="12.75">
      <c r="A324" s="832"/>
      <c r="B324" s="842"/>
      <c r="C324" s="827"/>
      <c r="D324" s="827"/>
      <c r="E324" s="588" t="e">
        <f t="shared" si="56"/>
        <v>#N/A</v>
      </c>
      <c r="F324" s="831"/>
      <c r="G324" s="831"/>
      <c r="H324" s="831"/>
      <c r="I324" s="481" t="e">
        <f t="shared" si="57"/>
        <v>#N/A</v>
      </c>
      <c r="J324" s="834"/>
      <c r="K324" s="482">
        <f t="shared" si="67"/>
        <v>0</v>
      </c>
      <c r="L324" s="483" t="e">
        <f t="shared" si="58"/>
        <v>#DIV/0!</v>
      </c>
      <c r="M324" s="483" t="str">
        <f t="shared" si="59"/>
        <v>NA</v>
      </c>
      <c r="N324" s="600" t="b">
        <f t="shared" si="60"/>
        <v>0</v>
      </c>
      <c r="O324" s="612">
        <f t="shared" si="61"/>
        <v>0</v>
      </c>
      <c r="P324" s="613" t="e">
        <f t="shared" si="62"/>
        <v>#N/A</v>
      </c>
      <c r="Q324" s="424" t="e">
        <f t="shared" si="63"/>
        <v>#N/A</v>
      </c>
      <c r="R324" s="611" t="e">
        <f t="shared" si="64"/>
        <v>#N/A</v>
      </c>
      <c r="S324" s="484">
        <f t="shared" si="65"/>
        <v>0</v>
      </c>
      <c r="T324" s="374">
        <f t="shared" si="66"/>
      </c>
      <c r="U324" s="374">
        <f t="shared" si="55"/>
      </c>
    </row>
    <row r="325" spans="1:21" ht="12.75">
      <c r="A325" s="832"/>
      <c r="B325" s="842"/>
      <c r="C325" s="827"/>
      <c r="D325" s="827"/>
      <c r="E325" s="588" t="e">
        <f t="shared" si="56"/>
        <v>#N/A</v>
      </c>
      <c r="F325" s="831"/>
      <c r="G325" s="831"/>
      <c r="H325" s="831"/>
      <c r="I325" s="481" t="e">
        <f t="shared" si="57"/>
        <v>#N/A</v>
      </c>
      <c r="J325" s="834"/>
      <c r="K325" s="482">
        <f t="shared" si="67"/>
        <v>0</v>
      </c>
      <c r="L325" s="483" t="e">
        <f t="shared" si="58"/>
        <v>#DIV/0!</v>
      </c>
      <c r="M325" s="483" t="str">
        <f t="shared" si="59"/>
        <v>NA</v>
      </c>
      <c r="N325" s="600" t="b">
        <f t="shared" si="60"/>
        <v>0</v>
      </c>
      <c r="O325" s="612">
        <f t="shared" si="61"/>
        <v>0</v>
      </c>
      <c r="P325" s="613" t="e">
        <f t="shared" si="62"/>
        <v>#N/A</v>
      </c>
      <c r="Q325" s="424" t="e">
        <f t="shared" si="63"/>
        <v>#N/A</v>
      </c>
      <c r="R325" s="611" t="e">
        <f t="shared" si="64"/>
        <v>#N/A</v>
      </c>
      <c r="S325" s="484">
        <f t="shared" si="65"/>
        <v>0</v>
      </c>
      <c r="T325" s="374">
        <f t="shared" si="66"/>
      </c>
      <c r="U325" s="374">
        <f t="shared" si="55"/>
      </c>
    </row>
    <row r="326" spans="1:21" ht="12.75">
      <c r="A326" s="832"/>
      <c r="B326" s="842"/>
      <c r="C326" s="827"/>
      <c r="D326" s="827"/>
      <c r="E326" s="588" t="e">
        <f t="shared" si="56"/>
        <v>#N/A</v>
      </c>
      <c r="F326" s="831"/>
      <c r="G326" s="831"/>
      <c r="H326" s="831"/>
      <c r="I326" s="481" t="e">
        <f t="shared" si="57"/>
        <v>#N/A</v>
      </c>
      <c r="J326" s="834"/>
      <c r="K326" s="482">
        <f t="shared" si="67"/>
        <v>0</v>
      </c>
      <c r="L326" s="483" t="e">
        <f t="shared" si="58"/>
        <v>#DIV/0!</v>
      </c>
      <c r="M326" s="483" t="str">
        <f t="shared" si="59"/>
        <v>NA</v>
      </c>
      <c r="N326" s="600" t="b">
        <f t="shared" si="60"/>
        <v>0</v>
      </c>
      <c r="O326" s="612">
        <f t="shared" si="61"/>
        <v>0</v>
      </c>
      <c r="P326" s="613" t="e">
        <f t="shared" si="62"/>
        <v>#N/A</v>
      </c>
      <c r="Q326" s="424" t="e">
        <f t="shared" si="63"/>
        <v>#N/A</v>
      </c>
      <c r="R326" s="611" t="e">
        <f t="shared" si="64"/>
        <v>#N/A</v>
      </c>
      <c r="S326" s="484">
        <f t="shared" si="65"/>
        <v>0</v>
      </c>
      <c r="T326" s="374">
        <f t="shared" si="66"/>
      </c>
      <c r="U326" s="374">
        <f t="shared" si="55"/>
      </c>
    </row>
    <row r="327" spans="1:21" ht="12.75">
      <c r="A327" s="832"/>
      <c r="B327" s="842"/>
      <c r="C327" s="827"/>
      <c r="D327" s="827"/>
      <c r="E327" s="588" t="e">
        <f t="shared" si="56"/>
        <v>#N/A</v>
      </c>
      <c r="F327" s="831"/>
      <c r="G327" s="831"/>
      <c r="H327" s="831"/>
      <c r="I327" s="481" t="e">
        <f t="shared" si="57"/>
        <v>#N/A</v>
      </c>
      <c r="J327" s="834"/>
      <c r="K327" s="482">
        <f t="shared" si="67"/>
        <v>0</v>
      </c>
      <c r="L327" s="483" t="e">
        <f t="shared" si="58"/>
        <v>#DIV/0!</v>
      </c>
      <c r="M327" s="483" t="str">
        <f t="shared" si="59"/>
        <v>NA</v>
      </c>
      <c r="N327" s="600" t="b">
        <f t="shared" si="60"/>
        <v>0</v>
      </c>
      <c r="O327" s="612">
        <f t="shared" si="61"/>
        <v>0</v>
      </c>
      <c r="P327" s="613" t="e">
        <f t="shared" si="62"/>
        <v>#N/A</v>
      </c>
      <c r="Q327" s="424" t="e">
        <f t="shared" si="63"/>
        <v>#N/A</v>
      </c>
      <c r="R327" s="611" t="e">
        <f t="shared" si="64"/>
        <v>#N/A</v>
      </c>
      <c r="S327" s="484">
        <f t="shared" si="65"/>
        <v>0</v>
      </c>
      <c r="T327" s="374">
        <f t="shared" si="66"/>
      </c>
      <c r="U327" s="374">
        <f t="shared" si="55"/>
      </c>
    </row>
    <row r="328" spans="1:21" ht="12.75">
      <c r="A328" s="832"/>
      <c r="B328" s="842"/>
      <c r="C328" s="846"/>
      <c r="D328" s="827"/>
      <c r="E328" s="588" t="e">
        <f t="shared" si="56"/>
        <v>#N/A</v>
      </c>
      <c r="F328" s="831"/>
      <c r="G328" s="831"/>
      <c r="H328" s="831"/>
      <c r="I328" s="481" t="e">
        <f t="shared" si="57"/>
        <v>#N/A</v>
      </c>
      <c r="J328" s="834"/>
      <c r="K328" s="482">
        <f t="shared" si="67"/>
        <v>0</v>
      </c>
      <c r="L328" s="483" t="e">
        <f t="shared" si="58"/>
        <v>#DIV/0!</v>
      </c>
      <c r="M328" s="483" t="str">
        <f t="shared" si="59"/>
        <v>NA</v>
      </c>
      <c r="N328" s="600" t="b">
        <f t="shared" si="60"/>
        <v>0</v>
      </c>
      <c r="O328" s="612">
        <f t="shared" si="61"/>
        <v>0</v>
      </c>
      <c r="P328" s="613" t="e">
        <f t="shared" si="62"/>
        <v>#N/A</v>
      </c>
      <c r="Q328" s="424" t="e">
        <f t="shared" si="63"/>
        <v>#N/A</v>
      </c>
      <c r="R328" s="611" t="e">
        <f t="shared" si="64"/>
        <v>#N/A</v>
      </c>
      <c r="S328" s="484">
        <f t="shared" si="65"/>
        <v>0</v>
      </c>
      <c r="T328" s="374">
        <f t="shared" si="66"/>
      </c>
      <c r="U328" s="374">
        <f t="shared" si="55"/>
      </c>
    </row>
    <row r="329" spans="1:21" ht="11.25" customHeight="1">
      <c r="A329" s="832"/>
      <c r="B329" s="842"/>
      <c r="C329" s="827"/>
      <c r="D329" s="827"/>
      <c r="E329" s="588" t="e">
        <f t="shared" si="56"/>
        <v>#N/A</v>
      </c>
      <c r="F329" s="831"/>
      <c r="G329" s="831"/>
      <c r="H329" s="831"/>
      <c r="I329" s="481" t="e">
        <f t="shared" si="57"/>
        <v>#N/A</v>
      </c>
      <c r="J329" s="834"/>
      <c r="K329" s="482">
        <f t="shared" si="67"/>
        <v>0</v>
      </c>
      <c r="L329" s="483" t="e">
        <f t="shared" si="58"/>
        <v>#DIV/0!</v>
      </c>
      <c r="M329" s="483" t="str">
        <f t="shared" si="59"/>
        <v>NA</v>
      </c>
      <c r="N329" s="600" t="b">
        <f t="shared" si="60"/>
        <v>0</v>
      </c>
      <c r="O329" s="612">
        <f t="shared" si="61"/>
        <v>0</v>
      </c>
      <c r="P329" s="613" t="e">
        <f t="shared" si="62"/>
        <v>#N/A</v>
      </c>
      <c r="Q329" s="424" t="e">
        <f t="shared" si="63"/>
        <v>#N/A</v>
      </c>
      <c r="R329" s="611" t="e">
        <f t="shared" si="64"/>
        <v>#N/A</v>
      </c>
      <c r="S329" s="484">
        <f t="shared" si="65"/>
        <v>0</v>
      </c>
      <c r="T329" s="374">
        <f t="shared" si="66"/>
      </c>
      <c r="U329" s="374">
        <f t="shared" si="55"/>
      </c>
    </row>
    <row r="330" spans="1:21" ht="12.75">
      <c r="A330" s="832"/>
      <c r="B330" s="842"/>
      <c r="C330" s="827"/>
      <c r="D330" s="827"/>
      <c r="E330" s="588" t="e">
        <f t="shared" si="56"/>
        <v>#N/A</v>
      </c>
      <c r="F330" s="831"/>
      <c r="G330" s="831"/>
      <c r="H330" s="831"/>
      <c r="I330" s="481" t="e">
        <f t="shared" si="57"/>
        <v>#N/A</v>
      </c>
      <c r="J330" s="834"/>
      <c r="K330" s="482">
        <f t="shared" si="67"/>
        <v>0</v>
      </c>
      <c r="L330" s="483" t="e">
        <f t="shared" si="58"/>
        <v>#DIV/0!</v>
      </c>
      <c r="M330" s="483" t="str">
        <f t="shared" si="59"/>
        <v>NA</v>
      </c>
      <c r="N330" s="600" t="b">
        <f t="shared" si="60"/>
        <v>0</v>
      </c>
      <c r="O330" s="612">
        <f t="shared" si="61"/>
        <v>0</v>
      </c>
      <c r="P330" s="613" t="e">
        <f t="shared" si="62"/>
        <v>#N/A</v>
      </c>
      <c r="Q330" s="424" t="e">
        <f t="shared" si="63"/>
        <v>#N/A</v>
      </c>
      <c r="R330" s="611" t="e">
        <f t="shared" si="64"/>
        <v>#N/A</v>
      </c>
      <c r="S330" s="484">
        <f t="shared" si="65"/>
        <v>0</v>
      </c>
      <c r="T330" s="374">
        <f t="shared" si="66"/>
      </c>
      <c r="U330" s="374">
        <f t="shared" si="55"/>
      </c>
    </row>
    <row r="331" spans="1:21" ht="12.75">
      <c r="A331" s="832"/>
      <c r="B331" s="842"/>
      <c r="C331" s="827"/>
      <c r="D331" s="827"/>
      <c r="E331" s="588" t="e">
        <f t="shared" si="56"/>
        <v>#N/A</v>
      </c>
      <c r="F331" s="831"/>
      <c r="G331" s="831"/>
      <c r="H331" s="831"/>
      <c r="I331" s="481" t="e">
        <f t="shared" si="57"/>
        <v>#N/A</v>
      </c>
      <c r="J331" s="834"/>
      <c r="K331" s="482">
        <f t="shared" si="67"/>
        <v>0</v>
      </c>
      <c r="L331" s="483" t="e">
        <f t="shared" si="58"/>
        <v>#DIV/0!</v>
      </c>
      <c r="M331" s="483" t="str">
        <f t="shared" si="59"/>
        <v>NA</v>
      </c>
      <c r="N331" s="600" t="b">
        <f t="shared" si="60"/>
        <v>0</v>
      </c>
      <c r="O331" s="612">
        <f t="shared" si="61"/>
        <v>0</v>
      </c>
      <c r="P331" s="613" t="e">
        <f t="shared" si="62"/>
        <v>#N/A</v>
      </c>
      <c r="Q331" s="424" t="e">
        <f t="shared" si="63"/>
        <v>#N/A</v>
      </c>
      <c r="R331" s="611" t="e">
        <f t="shared" si="64"/>
        <v>#N/A</v>
      </c>
      <c r="S331" s="484">
        <f t="shared" si="65"/>
        <v>0</v>
      </c>
      <c r="T331" s="374">
        <f t="shared" si="66"/>
      </c>
      <c r="U331" s="374">
        <f t="shared" si="55"/>
      </c>
    </row>
    <row r="332" spans="1:21" ht="12.75">
      <c r="A332" s="832"/>
      <c r="B332" s="842"/>
      <c r="C332" s="827"/>
      <c r="D332" s="827"/>
      <c r="E332" s="588" t="e">
        <f t="shared" si="56"/>
        <v>#N/A</v>
      </c>
      <c r="F332" s="831"/>
      <c r="G332" s="831"/>
      <c r="H332" s="831"/>
      <c r="I332" s="481" t="e">
        <f t="shared" si="57"/>
        <v>#N/A</v>
      </c>
      <c r="J332" s="834"/>
      <c r="K332" s="482">
        <f t="shared" si="67"/>
        <v>0</v>
      </c>
      <c r="L332" s="483" t="e">
        <f t="shared" si="58"/>
        <v>#DIV/0!</v>
      </c>
      <c r="M332" s="483" t="str">
        <f t="shared" si="59"/>
        <v>NA</v>
      </c>
      <c r="N332" s="600" t="b">
        <f t="shared" si="60"/>
        <v>0</v>
      </c>
      <c r="O332" s="612">
        <f t="shared" si="61"/>
        <v>0</v>
      </c>
      <c r="P332" s="613" t="e">
        <f t="shared" si="62"/>
        <v>#N/A</v>
      </c>
      <c r="Q332" s="424" t="e">
        <f t="shared" si="63"/>
        <v>#N/A</v>
      </c>
      <c r="R332" s="611" t="e">
        <f t="shared" si="64"/>
        <v>#N/A</v>
      </c>
      <c r="S332" s="484">
        <f t="shared" si="65"/>
        <v>0</v>
      </c>
      <c r="T332" s="374">
        <f t="shared" si="66"/>
      </c>
      <c r="U332" s="374">
        <f t="shared" si="55"/>
      </c>
    </row>
    <row r="333" spans="1:21" ht="12.75">
      <c r="A333" s="832"/>
      <c r="B333" s="842"/>
      <c r="C333" s="827"/>
      <c r="D333" s="827"/>
      <c r="E333" s="588" t="e">
        <f t="shared" si="56"/>
        <v>#N/A</v>
      </c>
      <c r="F333" s="831"/>
      <c r="G333" s="831"/>
      <c r="H333" s="831"/>
      <c r="I333" s="481" t="e">
        <f t="shared" si="57"/>
        <v>#N/A</v>
      </c>
      <c r="J333" s="834"/>
      <c r="K333" s="482">
        <f t="shared" si="67"/>
        <v>0</v>
      </c>
      <c r="L333" s="483" t="e">
        <f t="shared" si="58"/>
        <v>#DIV/0!</v>
      </c>
      <c r="M333" s="483" t="str">
        <f t="shared" si="59"/>
        <v>NA</v>
      </c>
      <c r="N333" s="600" t="b">
        <f t="shared" si="60"/>
        <v>0</v>
      </c>
      <c r="O333" s="612">
        <f t="shared" si="61"/>
        <v>0</v>
      </c>
      <c r="P333" s="613" t="e">
        <f t="shared" si="62"/>
        <v>#N/A</v>
      </c>
      <c r="Q333" s="424" t="e">
        <f t="shared" si="63"/>
        <v>#N/A</v>
      </c>
      <c r="R333" s="611" t="e">
        <f t="shared" si="64"/>
        <v>#N/A</v>
      </c>
      <c r="S333" s="484">
        <f t="shared" si="65"/>
        <v>0</v>
      </c>
      <c r="T333" s="374">
        <f t="shared" si="66"/>
      </c>
      <c r="U333" s="374">
        <f t="shared" si="55"/>
      </c>
    </row>
    <row r="334" spans="1:21" ht="12.75">
      <c r="A334" s="832"/>
      <c r="B334" s="842"/>
      <c r="C334" s="846"/>
      <c r="D334" s="827"/>
      <c r="E334" s="588" t="e">
        <f t="shared" si="56"/>
        <v>#N/A</v>
      </c>
      <c r="F334" s="831"/>
      <c r="G334" s="831"/>
      <c r="H334" s="831"/>
      <c r="I334" s="481" t="e">
        <f t="shared" si="57"/>
        <v>#N/A</v>
      </c>
      <c r="J334" s="834"/>
      <c r="K334" s="482">
        <f t="shared" si="67"/>
        <v>0</v>
      </c>
      <c r="L334" s="483" t="e">
        <f t="shared" si="58"/>
        <v>#DIV/0!</v>
      </c>
      <c r="M334" s="483" t="str">
        <f t="shared" si="59"/>
        <v>NA</v>
      </c>
      <c r="N334" s="600" t="b">
        <f t="shared" si="60"/>
        <v>0</v>
      </c>
      <c r="O334" s="612">
        <f t="shared" si="61"/>
        <v>0</v>
      </c>
      <c r="P334" s="613" t="e">
        <f t="shared" si="62"/>
        <v>#N/A</v>
      </c>
      <c r="Q334" s="424" t="e">
        <f t="shared" si="63"/>
        <v>#N/A</v>
      </c>
      <c r="R334" s="611" t="e">
        <f t="shared" si="64"/>
        <v>#N/A</v>
      </c>
      <c r="S334" s="484">
        <f t="shared" si="65"/>
        <v>0</v>
      </c>
      <c r="T334" s="374">
        <f t="shared" si="66"/>
      </c>
      <c r="U334" s="374">
        <f t="shared" si="55"/>
      </c>
    </row>
    <row r="335" spans="1:21" ht="12.75">
      <c r="A335" s="832"/>
      <c r="B335" s="842"/>
      <c r="C335" s="827"/>
      <c r="D335" s="827"/>
      <c r="E335" s="588" t="e">
        <f t="shared" si="56"/>
        <v>#N/A</v>
      </c>
      <c r="F335" s="831"/>
      <c r="G335" s="831"/>
      <c r="H335" s="831"/>
      <c r="I335" s="481" t="e">
        <f t="shared" si="57"/>
        <v>#N/A</v>
      </c>
      <c r="J335" s="834"/>
      <c r="K335" s="482">
        <f t="shared" si="67"/>
        <v>0</v>
      </c>
      <c r="L335" s="483" t="e">
        <f t="shared" si="58"/>
        <v>#DIV/0!</v>
      </c>
      <c r="M335" s="483" t="str">
        <f t="shared" si="59"/>
        <v>NA</v>
      </c>
      <c r="N335" s="600" t="b">
        <f t="shared" si="60"/>
        <v>0</v>
      </c>
      <c r="O335" s="612">
        <f t="shared" si="61"/>
        <v>0</v>
      </c>
      <c r="P335" s="613" t="e">
        <f t="shared" si="62"/>
        <v>#N/A</v>
      </c>
      <c r="Q335" s="424" t="e">
        <f t="shared" si="63"/>
        <v>#N/A</v>
      </c>
      <c r="R335" s="611" t="e">
        <f t="shared" si="64"/>
        <v>#N/A</v>
      </c>
      <c r="S335" s="484">
        <f t="shared" si="65"/>
        <v>0</v>
      </c>
      <c r="T335" s="374">
        <f t="shared" si="66"/>
      </c>
      <c r="U335" s="374">
        <f t="shared" si="55"/>
      </c>
    </row>
    <row r="336" spans="1:21" ht="12.75">
      <c r="A336" s="832"/>
      <c r="B336" s="842"/>
      <c r="C336" s="827"/>
      <c r="D336" s="827"/>
      <c r="E336" s="588" t="e">
        <f t="shared" si="56"/>
        <v>#N/A</v>
      </c>
      <c r="F336" s="831"/>
      <c r="G336" s="831"/>
      <c r="H336" s="831"/>
      <c r="I336" s="481" t="e">
        <f t="shared" si="57"/>
        <v>#N/A</v>
      </c>
      <c r="J336" s="834"/>
      <c r="K336" s="482">
        <f t="shared" si="67"/>
        <v>0</v>
      </c>
      <c r="L336" s="483" t="e">
        <f t="shared" si="58"/>
        <v>#DIV/0!</v>
      </c>
      <c r="M336" s="483" t="str">
        <f t="shared" si="59"/>
        <v>NA</v>
      </c>
      <c r="N336" s="600" t="b">
        <f t="shared" si="60"/>
        <v>0</v>
      </c>
      <c r="O336" s="612">
        <f t="shared" si="61"/>
        <v>0</v>
      </c>
      <c r="P336" s="613" t="e">
        <f t="shared" si="62"/>
        <v>#N/A</v>
      </c>
      <c r="Q336" s="424" t="e">
        <f t="shared" si="63"/>
        <v>#N/A</v>
      </c>
      <c r="R336" s="611" t="e">
        <f t="shared" si="64"/>
        <v>#N/A</v>
      </c>
      <c r="S336" s="484">
        <f t="shared" si="65"/>
        <v>0</v>
      </c>
      <c r="T336" s="374">
        <f t="shared" si="66"/>
      </c>
      <c r="U336" s="374">
        <f t="shared" si="55"/>
      </c>
    </row>
    <row r="337" spans="1:21" ht="12.75">
      <c r="A337" s="832"/>
      <c r="B337" s="842"/>
      <c r="C337" s="827"/>
      <c r="D337" s="827"/>
      <c r="E337" s="588" t="e">
        <f t="shared" si="56"/>
        <v>#N/A</v>
      </c>
      <c r="F337" s="831"/>
      <c r="G337" s="831"/>
      <c r="H337" s="831"/>
      <c r="I337" s="481" t="e">
        <f t="shared" si="57"/>
        <v>#N/A</v>
      </c>
      <c r="J337" s="834"/>
      <c r="K337" s="482">
        <f t="shared" si="67"/>
        <v>0</v>
      </c>
      <c r="L337" s="483" t="e">
        <f t="shared" si="58"/>
        <v>#DIV/0!</v>
      </c>
      <c r="M337" s="483" t="str">
        <f t="shared" si="59"/>
        <v>NA</v>
      </c>
      <c r="N337" s="600" t="b">
        <f t="shared" si="60"/>
        <v>0</v>
      </c>
      <c r="O337" s="612">
        <f t="shared" si="61"/>
        <v>0</v>
      </c>
      <c r="P337" s="613" t="e">
        <f t="shared" si="62"/>
        <v>#N/A</v>
      </c>
      <c r="Q337" s="424" t="e">
        <f t="shared" si="63"/>
        <v>#N/A</v>
      </c>
      <c r="R337" s="611" t="e">
        <f t="shared" si="64"/>
        <v>#N/A</v>
      </c>
      <c r="S337" s="484">
        <f t="shared" si="65"/>
        <v>0</v>
      </c>
      <c r="T337" s="374">
        <f t="shared" si="66"/>
      </c>
      <c r="U337" s="374">
        <f t="shared" si="55"/>
      </c>
    </row>
    <row r="338" spans="1:21" ht="12.75">
      <c r="A338" s="832"/>
      <c r="B338" s="842"/>
      <c r="C338" s="827"/>
      <c r="D338" s="827"/>
      <c r="E338" s="588" t="e">
        <f t="shared" si="56"/>
        <v>#N/A</v>
      </c>
      <c r="F338" s="831"/>
      <c r="G338" s="831"/>
      <c r="H338" s="831"/>
      <c r="I338" s="481" t="e">
        <f t="shared" si="57"/>
        <v>#N/A</v>
      </c>
      <c r="J338" s="834"/>
      <c r="K338" s="482">
        <f t="shared" si="67"/>
        <v>0</v>
      </c>
      <c r="L338" s="483" t="e">
        <f t="shared" si="58"/>
        <v>#DIV/0!</v>
      </c>
      <c r="M338" s="483" t="str">
        <f t="shared" si="59"/>
        <v>NA</v>
      </c>
      <c r="N338" s="600" t="b">
        <f t="shared" si="60"/>
        <v>0</v>
      </c>
      <c r="O338" s="612">
        <f t="shared" si="61"/>
        <v>0</v>
      </c>
      <c r="P338" s="613" t="e">
        <f t="shared" si="62"/>
        <v>#N/A</v>
      </c>
      <c r="Q338" s="424" t="e">
        <f t="shared" si="63"/>
        <v>#N/A</v>
      </c>
      <c r="R338" s="611" t="e">
        <f t="shared" si="64"/>
        <v>#N/A</v>
      </c>
      <c r="S338" s="484">
        <f t="shared" si="65"/>
        <v>0</v>
      </c>
      <c r="T338" s="374">
        <f t="shared" si="66"/>
      </c>
      <c r="U338" s="374">
        <f t="shared" si="55"/>
      </c>
    </row>
    <row r="339" spans="1:21" ht="12.75">
      <c r="A339" s="832"/>
      <c r="B339" s="842"/>
      <c r="C339" s="827"/>
      <c r="D339" s="827"/>
      <c r="E339" s="588" t="e">
        <f t="shared" si="56"/>
        <v>#N/A</v>
      </c>
      <c r="F339" s="831"/>
      <c r="G339" s="831"/>
      <c r="H339" s="831"/>
      <c r="I339" s="481" t="e">
        <f t="shared" si="57"/>
        <v>#N/A</v>
      </c>
      <c r="J339" s="834"/>
      <c r="K339" s="482">
        <f t="shared" si="67"/>
        <v>0</v>
      </c>
      <c r="L339" s="483" t="e">
        <f t="shared" si="58"/>
        <v>#DIV/0!</v>
      </c>
      <c r="M339" s="483" t="str">
        <f t="shared" si="59"/>
        <v>NA</v>
      </c>
      <c r="N339" s="600" t="b">
        <f t="shared" si="60"/>
        <v>0</v>
      </c>
      <c r="O339" s="612">
        <f t="shared" si="61"/>
        <v>0</v>
      </c>
      <c r="P339" s="613" t="e">
        <f t="shared" si="62"/>
        <v>#N/A</v>
      </c>
      <c r="Q339" s="424" t="e">
        <f t="shared" si="63"/>
        <v>#N/A</v>
      </c>
      <c r="R339" s="611" t="e">
        <f t="shared" si="64"/>
        <v>#N/A</v>
      </c>
      <c r="S339" s="484">
        <f t="shared" si="65"/>
        <v>0</v>
      </c>
      <c r="T339" s="374">
        <f t="shared" si="66"/>
      </c>
      <c r="U339" s="374">
        <f t="shared" si="55"/>
      </c>
    </row>
    <row r="340" spans="1:21" ht="12.75">
      <c r="A340" s="832"/>
      <c r="B340" s="842"/>
      <c r="C340" s="846"/>
      <c r="D340" s="827"/>
      <c r="E340" s="588" t="e">
        <f t="shared" si="56"/>
        <v>#N/A</v>
      </c>
      <c r="F340" s="831"/>
      <c r="G340" s="831"/>
      <c r="H340" s="831"/>
      <c r="I340" s="481" t="e">
        <f t="shared" si="57"/>
        <v>#N/A</v>
      </c>
      <c r="J340" s="834"/>
      <c r="K340" s="482">
        <f t="shared" si="67"/>
        <v>0</v>
      </c>
      <c r="L340" s="483" t="e">
        <f t="shared" si="58"/>
        <v>#DIV/0!</v>
      </c>
      <c r="M340" s="483" t="str">
        <f t="shared" si="59"/>
        <v>NA</v>
      </c>
      <c r="N340" s="600" t="b">
        <f t="shared" si="60"/>
        <v>0</v>
      </c>
      <c r="O340" s="612">
        <f t="shared" si="61"/>
        <v>0</v>
      </c>
      <c r="P340" s="613" t="e">
        <f t="shared" si="62"/>
        <v>#N/A</v>
      </c>
      <c r="Q340" s="424" t="e">
        <f t="shared" si="63"/>
        <v>#N/A</v>
      </c>
      <c r="R340" s="611" t="e">
        <f t="shared" si="64"/>
        <v>#N/A</v>
      </c>
      <c r="S340" s="484">
        <f t="shared" si="65"/>
        <v>0</v>
      </c>
      <c r="T340" s="374">
        <f t="shared" si="66"/>
      </c>
      <c r="U340" s="374">
        <f t="shared" si="55"/>
      </c>
    </row>
    <row r="341" spans="1:21" ht="12.75">
      <c r="A341" s="832"/>
      <c r="B341" s="842"/>
      <c r="C341" s="827"/>
      <c r="D341" s="827"/>
      <c r="E341" s="588" t="e">
        <f t="shared" si="56"/>
        <v>#N/A</v>
      </c>
      <c r="F341" s="831"/>
      <c r="G341" s="831"/>
      <c r="H341" s="831"/>
      <c r="I341" s="481" t="e">
        <f t="shared" si="57"/>
        <v>#N/A</v>
      </c>
      <c r="J341" s="834"/>
      <c r="K341" s="482">
        <f t="shared" si="67"/>
        <v>0</v>
      </c>
      <c r="L341" s="483" t="e">
        <f t="shared" si="58"/>
        <v>#DIV/0!</v>
      </c>
      <c r="M341" s="483" t="str">
        <f t="shared" si="59"/>
        <v>NA</v>
      </c>
      <c r="N341" s="600" t="b">
        <f t="shared" si="60"/>
        <v>0</v>
      </c>
      <c r="O341" s="612">
        <f t="shared" si="61"/>
        <v>0</v>
      </c>
      <c r="P341" s="613" t="e">
        <f t="shared" si="62"/>
        <v>#N/A</v>
      </c>
      <c r="Q341" s="424" t="e">
        <f t="shared" si="63"/>
        <v>#N/A</v>
      </c>
      <c r="R341" s="611" t="e">
        <f t="shared" si="64"/>
        <v>#N/A</v>
      </c>
      <c r="S341" s="484">
        <f t="shared" si="65"/>
        <v>0</v>
      </c>
      <c r="T341" s="374">
        <f t="shared" si="66"/>
      </c>
      <c r="U341" s="374">
        <f t="shared" si="55"/>
      </c>
    </row>
    <row r="342" spans="1:21" ht="12.75">
      <c r="A342" s="832"/>
      <c r="B342" s="842"/>
      <c r="C342" s="827"/>
      <c r="D342" s="827"/>
      <c r="E342" s="588" t="e">
        <f t="shared" si="56"/>
        <v>#N/A</v>
      </c>
      <c r="F342" s="831"/>
      <c r="G342" s="831"/>
      <c r="H342" s="831"/>
      <c r="I342" s="481" t="e">
        <f t="shared" si="57"/>
        <v>#N/A</v>
      </c>
      <c r="J342" s="834"/>
      <c r="K342" s="482">
        <f t="shared" si="67"/>
        <v>0</v>
      </c>
      <c r="L342" s="483" t="e">
        <f t="shared" si="58"/>
        <v>#DIV/0!</v>
      </c>
      <c r="M342" s="483" t="str">
        <f t="shared" si="59"/>
        <v>NA</v>
      </c>
      <c r="N342" s="600" t="b">
        <f t="shared" si="60"/>
        <v>0</v>
      </c>
      <c r="O342" s="612">
        <f t="shared" si="61"/>
        <v>0</v>
      </c>
      <c r="P342" s="613" t="e">
        <f t="shared" si="62"/>
        <v>#N/A</v>
      </c>
      <c r="Q342" s="424" t="e">
        <f t="shared" si="63"/>
        <v>#N/A</v>
      </c>
      <c r="R342" s="611" t="e">
        <f t="shared" si="64"/>
        <v>#N/A</v>
      </c>
      <c r="S342" s="484">
        <f t="shared" si="65"/>
        <v>0</v>
      </c>
      <c r="T342" s="374">
        <f t="shared" si="66"/>
      </c>
      <c r="U342" s="374">
        <f t="shared" si="55"/>
      </c>
    </row>
    <row r="343" spans="1:21" ht="12.75">
      <c r="A343" s="832"/>
      <c r="B343" s="842"/>
      <c r="C343" s="827"/>
      <c r="D343" s="827"/>
      <c r="E343" s="588" t="e">
        <f t="shared" si="56"/>
        <v>#N/A</v>
      </c>
      <c r="F343" s="831"/>
      <c r="G343" s="831"/>
      <c r="H343" s="831"/>
      <c r="I343" s="481" t="e">
        <f t="shared" si="57"/>
        <v>#N/A</v>
      </c>
      <c r="J343" s="834"/>
      <c r="K343" s="482">
        <f t="shared" si="67"/>
        <v>0</v>
      </c>
      <c r="L343" s="483" t="e">
        <f t="shared" si="58"/>
        <v>#DIV/0!</v>
      </c>
      <c r="M343" s="483" t="str">
        <f t="shared" si="59"/>
        <v>NA</v>
      </c>
      <c r="N343" s="600" t="b">
        <f t="shared" si="60"/>
        <v>0</v>
      </c>
      <c r="O343" s="612">
        <f t="shared" si="61"/>
        <v>0</v>
      </c>
      <c r="P343" s="613" t="e">
        <f t="shared" si="62"/>
        <v>#N/A</v>
      </c>
      <c r="Q343" s="424" t="e">
        <f t="shared" si="63"/>
        <v>#N/A</v>
      </c>
      <c r="R343" s="611" t="e">
        <f t="shared" si="64"/>
        <v>#N/A</v>
      </c>
      <c r="S343" s="484">
        <f t="shared" si="65"/>
        <v>0</v>
      </c>
      <c r="T343" s="374">
        <f t="shared" si="66"/>
      </c>
      <c r="U343" s="374">
        <f t="shared" si="55"/>
      </c>
    </row>
    <row r="344" spans="1:21" ht="12.75">
      <c r="A344" s="832"/>
      <c r="B344" s="842"/>
      <c r="C344" s="827"/>
      <c r="D344" s="827"/>
      <c r="E344" s="588" t="e">
        <f t="shared" si="56"/>
        <v>#N/A</v>
      </c>
      <c r="F344" s="831"/>
      <c r="G344" s="831"/>
      <c r="H344" s="831"/>
      <c r="I344" s="481" t="e">
        <f t="shared" si="57"/>
        <v>#N/A</v>
      </c>
      <c r="J344" s="834"/>
      <c r="K344" s="482">
        <f t="shared" si="67"/>
        <v>0</v>
      </c>
      <c r="L344" s="483" t="e">
        <f t="shared" si="58"/>
        <v>#DIV/0!</v>
      </c>
      <c r="M344" s="483" t="str">
        <f t="shared" si="59"/>
        <v>NA</v>
      </c>
      <c r="N344" s="600" t="b">
        <f t="shared" si="60"/>
        <v>0</v>
      </c>
      <c r="O344" s="612">
        <f t="shared" si="61"/>
        <v>0</v>
      </c>
      <c r="P344" s="613" t="e">
        <f t="shared" si="62"/>
        <v>#N/A</v>
      </c>
      <c r="Q344" s="424" t="e">
        <f t="shared" si="63"/>
        <v>#N/A</v>
      </c>
      <c r="R344" s="611" t="e">
        <f t="shared" si="64"/>
        <v>#N/A</v>
      </c>
      <c r="S344" s="484">
        <f t="shared" si="65"/>
        <v>0</v>
      </c>
      <c r="T344" s="374">
        <f t="shared" si="66"/>
      </c>
      <c r="U344" s="374">
        <f t="shared" si="55"/>
      </c>
    </row>
    <row r="345" spans="1:21" ht="12.75">
      <c r="A345" s="832"/>
      <c r="B345" s="842"/>
      <c r="C345" s="827"/>
      <c r="D345" s="827"/>
      <c r="E345" s="588" t="e">
        <f t="shared" si="56"/>
        <v>#N/A</v>
      </c>
      <c r="F345" s="831"/>
      <c r="G345" s="831"/>
      <c r="H345" s="831"/>
      <c r="I345" s="481" t="e">
        <f t="shared" si="57"/>
        <v>#N/A</v>
      </c>
      <c r="J345" s="834"/>
      <c r="K345" s="482">
        <f t="shared" si="67"/>
        <v>0</v>
      </c>
      <c r="L345" s="483" t="e">
        <f t="shared" si="58"/>
        <v>#DIV/0!</v>
      </c>
      <c r="M345" s="483" t="str">
        <f t="shared" si="59"/>
        <v>NA</v>
      </c>
      <c r="N345" s="600" t="b">
        <f t="shared" si="60"/>
        <v>0</v>
      </c>
      <c r="O345" s="612">
        <f t="shared" si="61"/>
        <v>0</v>
      </c>
      <c r="P345" s="613" t="e">
        <f t="shared" si="62"/>
        <v>#N/A</v>
      </c>
      <c r="Q345" s="424" t="e">
        <f t="shared" si="63"/>
        <v>#N/A</v>
      </c>
      <c r="R345" s="611" t="e">
        <f t="shared" si="64"/>
        <v>#N/A</v>
      </c>
      <c r="S345" s="484">
        <f t="shared" si="65"/>
        <v>0</v>
      </c>
      <c r="T345" s="374">
        <f t="shared" si="66"/>
      </c>
      <c r="U345" s="374">
        <f t="shared" si="55"/>
      </c>
    </row>
    <row r="346" spans="1:21" ht="12.75">
      <c r="A346" s="832"/>
      <c r="B346" s="842"/>
      <c r="C346" s="846"/>
      <c r="D346" s="827"/>
      <c r="E346" s="588" t="e">
        <f t="shared" si="56"/>
        <v>#N/A</v>
      </c>
      <c r="F346" s="831"/>
      <c r="G346" s="831"/>
      <c r="H346" s="831"/>
      <c r="I346" s="481" t="e">
        <f t="shared" si="57"/>
        <v>#N/A</v>
      </c>
      <c r="J346" s="834"/>
      <c r="K346" s="482">
        <f t="shared" si="67"/>
        <v>0</v>
      </c>
      <c r="L346" s="483" t="e">
        <f t="shared" si="58"/>
        <v>#DIV/0!</v>
      </c>
      <c r="M346" s="483" t="str">
        <f t="shared" si="59"/>
        <v>NA</v>
      </c>
      <c r="N346" s="600" t="b">
        <f t="shared" si="60"/>
        <v>0</v>
      </c>
      <c r="O346" s="612">
        <f t="shared" si="61"/>
        <v>0</v>
      </c>
      <c r="P346" s="613" t="e">
        <f t="shared" si="62"/>
        <v>#N/A</v>
      </c>
      <c r="Q346" s="424" t="e">
        <f t="shared" si="63"/>
        <v>#N/A</v>
      </c>
      <c r="R346" s="611" t="e">
        <f t="shared" si="64"/>
        <v>#N/A</v>
      </c>
      <c r="S346" s="484">
        <f t="shared" si="65"/>
        <v>0</v>
      </c>
      <c r="T346" s="374">
        <f t="shared" si="66"/>
      </c>
      <c r="U346" s="374">
        <f t="shared" si="55"/>
      </c>
    </row>
    <row r="347" spans="1:21" ht="12.75">
      <c r="A347" s="832"/>
      <c r="B347" s="842"/>
      <c r="C347" s="827"/>
      <c r="D347" s="827"/>
      <c r="E347" s="588" t="e">
        <f t="shared" si="56"/>
        <v>#N/A</v>
      </c>
      <c r="F347" s="831"/>
      <c r="G347" s="831"/>
      <c r="H347" s="831"/>
      <c r="I347" s="481" t="e">
        <f t="shared" si="57"/>
        <v>#N/A</v>
      </c>
      <c r="J347" s="834"/>
      <c r="K347" s="482">
        <f t="shared" si="67"/>
        <v>0</v>
      </c>
      <c r="L347" s="483" t="e">
        <f t="shared" si="58"/>
        <v>#DIV/0!</v>
      </c>
      <c r="M347" s="483" t="str">
        <f t="shared" si="59"/>
        <v>NA</v>
      </c>
      <c r="N347" s="600" t="b">
        <f t="shared" si="60"/>
        <v>0</v>
      </c>
      <c r="O347" s="612">
        <f t="shared" si="61"/>
        <v>0</v>
      </c>
      <c r="P347" s="613" t="e">
        <f t="shared" si="62"/>
        <v>#N/A</v>
      </c>
      <c r="Q347" s="424" t="e">
        <f t="shared" si="63"/>
        <v>#N/A</v>
      </c>
      <c r="R347" s="611" t="e">
        <f t="shared" si="64"/>
        <v>#N/A</v>
      </c>
      <c r="S347" s="484">
        <f t="shared" si="65"/>
        <v>0</v>
      </c>
      <c r="T347" s="374">
        <f t="shared" si="66"/>
      </c>
      <c r="U347" s="374">
        <f t="shared" si="55"/>
      </c>
    </row>
    <row r="348" spans="1:21" ht="12.75">
      <c r="A348" s="832"/>
      <c r="B348" s="842"/>
      <c r="C348" s="827"/>
      <c r="D348" s="827"/>
      <c r="E348" s="588" t="e">
        <f t="shared" si="56"/>
        <v>#N/A</v>
      </c>
      <c r="F348" s="831"/>
      <c r="G348" s="831"/>
      <c r="H348" s="831"/>
      <c r="I348" s="481" t="e">
        <f t="shared" si="57"/>
        <v>#N/A</v>
      </c>
      <c r="J348" s="834"/>
      <c r="K348" s="482">
        <f t="shared" si="67"/>
        <v>0</v>
      </c>
      <c r="L348" s="483" t="e">
        <f t="shared" si="58"/>
        <v>#DIV/0!</v>
      </c>
      <c r="M348" s="483" t="str">
        <f t="shared" si="59"/>
        <v>NA</v>
      </c>
      <c r="N348" s="600" t="b">
        <f t="shared" si="60"/>
        <v>0</v>
      </c>
      <c r="O348" s="612">
        <f t="shared" si="61"/>
        <v>0</v>
      </c>
      <c r="P348" s="613" t="e">
        <f t="shared" si="62"/>
        <v>#N/A</v>
      </c>
      <c r="Q348" s="424" t="e">
        <f t="shared" si="63"/>
        <v>#N/A</v>
      </c>
      <c r="R348" s="611" t="e">
        <f t="shared" si="64"/>
        <v>#N/A</v>
      </c>
      <c r="S348" s="484">
        <f t="shared" si="65"/>
        <v>0</v>
      </c>
      <c r="T348" s="374">
        <f t="shared" si="66"/>
      </c>
      <c r="U348" s="374">
        <f aca="true" t="shared" si="68" ref="U348:U357">IF(F348&gt;0,IF(Q348&lt;R348,"Insufficient lighting to meet IESNA footcandle recommendations.",""),"")</f>
      </c>
    </row>
    <row r="349" spans="1:21" ht="12.75">
      <c r="A349" s="832"/>
      <c r="B349" s="842"/>
      <c r="C349" s="827"/>
      <c r="D349" s="827"/>
      <c r="E349" s="588" t="e">
        <f aca="true" t="shared" si="69" ref="E349:E357">LOOKUP(D349,$W$2:$W$17,$AD$2:$AD$17)</f>
        <v>#N/A</v>
      </c>
      <c r="F349" s="831"/>
      <c r="G349" s="831"/>
      <c r="H349" s="831"/>
      <c r="I349" s="481" t="e">
        <f aca="true" t="shared" si="70" ref="I349:I357">VLOOKUP(G349,$I$2:$K$24,3,FALSE)</f>
        <v>#N/A</v>
      </c>
      <c r="J349" s="834"/>
      <c r="K349" s="482">
        <f t="shared" si="67"/>
        <v>0</v>
      </c>
      <c r="L349" s="483" t="e">
        <f aca="true" t="shared" si="71" ref="L349:L357">IF(D349="Exit Signs","convert to kW",K349/(B349*J349))</f>
        <v>#DIV/0!</v>
      </c>
      <c r="M349" s="483" t="str">
        <f aca="true" t="shared" si="72" ref="M349:M357">IF(H349="Yes",IF(D349="Stairs - Active",0.65*L349,IF(D349="Corridor/Transition",0.75*L349,IF(D349="Conference/meeting/multipurpose",1*L349,IF(D349="Community or Computer Room",1*L349,0.9*L349)))),"NA")</f>
        <v>NA</v>
      </c>
      <c r="N349" s="600" t="b">
        <f aca="true" t="shared" si="73" ref="N349:N357">IF($C$15="Space-By-Space (90.1-2007)",LOOKUP(D349,$W$2:$W$17,$X$2:$X$17),IF($C$15="Space-By-Space (90.1-2010)",LOOKUP(D349,$W$2:$W$17,$Y$2:$Y$17),IF($C$15="Building Area (90.1-2007)",LOOKUP(D349,$W$2:$W$17,$Z$2:$Z$17),IF($C$15="Building Area (90.1-2010)",LOOKUP(D349,$W$2:$W$17,$AA$2:$AA$17),IF($C$15="CA Title 24-2013",LOOKUP(D349,$W$2:$W$17,$AB$2:$AB$17))))))</f>
        <v>0</v>
      </c>
      <c r="O349" s="612">
        <f aca="true" t="shared" si="74" ref="O349:O357">IF(D349="Exit Signs",0,IF(B349&gt;0,N349*B349*J349,0))</f>
        <v>0</v>
      </c>
      <c r="P349" s="613" t="e">
        <f aca="true" t="shared" si="75" ref="P349:P357">LOOKUP(G349,$I$2:$I$24,$J$2:$J$24)*LOOKUP(LOOKUP(G349,$I$2:$I$24,$L$2:$L$24),$AF$2:$AF$17,$AJ$2:$AJ$17)*IF(E349="A",LOOKUP(LOOKUP(G349,$I$2:$I$24,$L$2:$L$24),$AF$2:$AF$17,$AG$2:$AG$17),IF(E349="B",LOOKUP(LOOKUP(G349,$I$2:$I$24,$L$2:$L$24),$AF$2:$AF$17,$AH$2:$AH$17),IF(E349="C",LOOKUP(LOOKUP(G349,$I$2:$I$24,$L$2:$L$24),$AF$2:$AF$17,$AI$2:$AI$17))))</f>
        <v>#N/A</v>
      </c>
      <c r="Q349" s="424" t="e">
        <f aca="true" t="shared" si="76" ref="Q349:Q357">P349*K349/S349</f>
        <v>#N/A</v>
      </c>
      <c r="R349" s="611" t="e">
        <f aca="true" t="shared" si="77" ref="R349:R357">LOOKUP(D349,$W$2:$W$17,$AC$2:$AC$17)</f>
        <v>#N/A</v>
      </c>
      <c r="S349" s="484">
        <f aca="true" t="shared" si="78" ref="S349:S357">B349*J349</f>
        <v>0</v>
      </c>
      <c r="T349" s="374">
        <f aca="true" t="shared" si="79" ref="T349:T357">IF(F349&gt;0,IF(Q349&lt;R349,"Insufficient lighting to meet IESNA footcandle recommendations.",""),"")</f>
      </c>
      <c r="U349" s="374">
        <f t="shared" si="68"/>
      </c>
    </row>
    <row r="350" spans="1:21" ht="12.75">
      <c r="A350" s="832"/>
      <c r="B350" s="842"/>
      <c r="C350" s="827"/>
      <c r="D350" s="827"/>
      <c r="E350" s="588" t="e">
        <f t="shared" si="69"/>
        <v>#N/A</v>
      </c>
      <c r="F350" s="831"/>
      <c r="G350" s="831"/>
      <c r="H350" s="831"/>
      <c r="I350" s="481" t="e">
        <f t="shared" si="70"/>
        <v>#N/A</v>
      </c>
      <c r="J350" s="834"/>
      <c r="K350" s="482">
        <f t="shared" si="67"/>
        <v>0</v>
      </c>
      <c r="L350" s="483" t="e">
        <f t="shared" si="71"/>
        <v>#DIV/0!</v>
      </c>
      <c r="M350" s="483" t="str">
        <f t="shared" si="72"/>
        <v>NA</v>
      </c>
      <c r="N350" s="600" t="b">
        <f t="shared" si="73"/>
        <v>0</v>
      </c>
      <c r="O350" s="612">
        <f t="shared" si="74"/>
        <v>0</v>
      </c>
      <c r="P350" s="613" t="e">
        <f t="shared" si="75"/>
        <v>#N/A</v>
      </c>
      <c r="Q350" s="424" t="e">
        <f t="shared" si="76"/>
        <v>#N/A</v>
      </c>
      <c r="R350" s="611" t="e">
        <f t="shared" si="77"/>
        <v>#N/A</v>
      </c>
      <c r="S350" s="484">
        <f t="shared" si="78"/>
        <v>0</v>
      </c>
      <c r="T350" s="374">
        <f t="shared" si="79"/>
      </c>
      <c r="U350" s="374">
        <f t="shared" si="68"/>
      </c>
    </row>
    <row r="351" spans="1:21" ht="12.75">
      <c r="A351" s="847"/>
      <c r="B351" s="842"/>
      <c r="C351" s="846"/>
      <c r="D351" s="827"/>
      <c r="E351" s="588" t="e">
        <f t="shared" si="69"/>
        <v>#N/A</v>
      </c>
      <c r="F351" s="831"/>
      <c r="G351" s="831"/>
      <c r="H351" s="831"/>
      <c r="I351" s="481" t="e">
        <f t="shared" si="70"/>
        <v>#N/A</v>
      </c>
      <c r="J351" s="834"/>
      <c r="K351" s="482">
        <f t="shared" si="67"/>
        <v>0</v>
      </c>
      <c r="L351" s="483" t="e">
        <f t="shared" si="71"/>
        <v>#DIV/0!</v>
      </c>
      <c r="M351" s="483" t="str">
        <f t="shared" si="72"/>
        <v>NA</v>
      </c>
      <c r="N351" s="600" t="b">
        <f t="shared" si="73"/>
        <v>0</v>
      </c>
      <c r="O351" s="612">
        <f t="shared" si="74"/>
        <v>0</v>
      </c>
      <c r="P351" s="613" t="e">
        <f t="shared" si="75"/>
        <v>#N/A</v>
      </c>
      <c r="Q351" s="424" t="e">
        <f t="shared" si="76"/>
        <v>#N/A</v>
      </c>
      <c r="R351" s="611" t="e">
        <f t="shared" si="77"/>
        <v>#N/A</v>
      </c>
      <c r="S351" s="484">
        <f t="shared" si="78"/>
        <v>0</v>
      </c>
      <c r="T351" s="374">
        <f t="shared" si="79"/>
      </c>
      <c r="U351" s="374">
        <f t="shared" si="68"/>
      </c>
    </row>
    <row r="352" spans="1:21" ht="12.75">
      <c r="A352" s="847"/>
      <c r="B352" s="842"/>
      <c r="C352" s="827"/>
      <c r="D352" s="827"/>
      <c r="E352" s="588" t="e">
        <f t="shared" si="69"/>
        <v>#N/A</v>
      </c>
      <c r="F352" s="831"/>
      <c r="G352" s="831"/>
      <c r="H352" s="831"/>
      <c r="I352" s="481" t="e">
        <f t="shared" si="70"/>
        <v>#N/A</v>
      </c>
      <c r="J352" s="834"/>
      <c r="K352" s="482">
        <f t="shared" si="67"/>
        <v>0</v>
      </c>
      <c r="L352" s="483" t="e">
        <f t="shared" si="71"/>
        <v>#DIV/0!</v>
      </c>
      <c r="M352" s="483" t="str">
        <f t="shared" si="72"/>
        <v>NA</v>
      </c>
      <c r="N352" s="600" t="b">
        <f t="shared" si="73"/>
        <v>0</v>
      </c>
      <c r="O352" s="612">
        <f t="shared" si="74"/>
        <v>0</v>
      </c>
      <c r="P352" s="613" t="e">
        <f t="shared" si="75"/>
        <v>#N/A</v>
      </c>
      <c r="Q352" s="424" t="e">
        <f t="shared" si="76"/>
        <v>#N/A</v>
      </c>
      <c r="R352" s="611" t="e">
        <f t="shared" si="77"/>
        <v>#N/A</v>
      </c>
      <c r="S352" s="484">
        <f t="shared" si="78"/>
        <v>0</v>
      </c>
      <c r="T352" s="374">
        <f t="shared" si="79"/>
      </c>
      <c r="U352" s="374">
        <f t="shared" si="68"/>
      </c>
    </row>
    <row r="353" spans="1:21" ht="12.75">
      <c r="A353" s="845"/>
      <c r="B353" s="842"/>
      <c r="C353" s="827"/>
      <c r="D353" s="827"/>
      <c r="E353" s="588" t="e">
        <f t="shared" si="69"/>
        <v>#N/A</v>
      </c>
      <c r="F353" s="831"/>
      <c r="G353" s="831"/>
      <c r="H353" s="831"/>
      <c r="I353" s="481" t="e">
        <f t="shared" si="70"/>
        <v>#N/A</v>
      </c>
      <c r="J353" s="834"/>
      <c r="K353" s="482">
        <f t="shared" si="67"/>
        <v>0</v>
      </c>
      <c r="L353" s="483" t="e">
        <f t="shared" si="71"/>
        <v>#DIV/0!</v>
      </c>
      <c r="M353" s="483" t="str">
        <f t="shared" si="72"/>
        <v>NA</v>
      </c>
      <c r="N353" s="600" t="b">
        <f t="shared" si="73"/>
        <v>0</v>
      </c>
      <c r="O353" s="612">
        <f t="shared" si="74"/>
        <v>0</v>
      </c>
      <c r="P353" s="613" t="e">
        <f t="shared" si="75"/>
        <v>#N/A</v>
      </c>
      <c r="Q353" s="424" t="e">
        <f t="shared" si="76"/>
        <v>#N/A</v>
      </c>
      <c r="R353" s="611" t="e">
        <f t="shared" si="77"/>
        <v>#N/A</v>
      </c>
      <c r="S353" s="484">
        <f t="shared" si="78"/>
        <v>0</v>
      </c>
      <c r="T353" s="374">
        <f t="shared" si="79"/>
      </c>
      <c r="U353" s="374">
        <f t="shared" si="68"/>
      </c>
    </row>
    <row r="354" spans="1:21" ht="12.75">
      <c r="A354" s="845"/>
      <c r="B354" s="842"/>
      <c r="C354" s="827"/>
      <c r="D354" s="827"/>
      <c r="E354" s="588" t="e">
        <f t="shared" si="69"/>
        <v>#N/A</v>
      </c>
      <c r="F354" s="831"/>
      <c r="G354" s="831"/>
      <c r="H354" s="831"/>
      <c r="I354" s="481" t="e">
        <f t="shared" si="70"/>
        <v>#N/A</v>
      </c>
      <c r="J354" s="834"/>
      <c r="K354" s="482">
        <f>IF(D354="Exit Signs",0,IF(F354&gt;0,F354*I354*J354,0))</f>
        <v>0</v>
      </c>
      <c r="L354" s="483" t="e">
        <f t="shared" si="71"/>
        <v>#DIV/0!</v>
      </c>
      <c r="M354" s="483" t="str">
        <f t="shared" si="72"/>
        <v>NA</v>
      </c>
      <c r="N354" s="600" t="b">
        <f t="shared" si="73"/>
        <v>0</v>
      </c>
      <c r="O354" s="612">
        <f t="shared" si="74"/>
        <v>0</v>
      </c>
      <c r="P354" s="613" t="e">
        <f t="shared" si="75"/>
        <v>#N/A</v>
      </c>
      <c r="Q354" s="424" t="e">
        <f t="shared" si="76"/>
        <v>#N/A</v>
      </c>
      <c r="R354" s="611" t="e">
        <f t="shared" si="77"/>
        <v>#N/A</v>
      </c>
      <c r="S354" s="484">
        <f t="shared" si="78"/>
        <v>0</v>
      </c>
      <c r="T354" s="374">
        <f t="shared" si="79"/>
      </c>
      <c r="U354" s="374">
        <f t="shared" si="68"/>
      </c>
    </row>
    <row r="355" spans="1:21" ht="12.75">
      <c r="A355" s="847"/>
      <c r="B355" s="842"/>
      <c r="C355" s="827"/>
      <c r="D355" s="827"/>
      <c r="E355" s="588" t="e">
        <f t="shared" si="69"/>
        <v>#N/A</v>
      </c>
      <c r="F355" s="831"/>
      <c r="G355" s="831"/>
      <c r="H355" s="831"/>
      <c r="I355" s="481" t="e">
        <f t="shared" si="70"/>
        <v>#N/A</v>
      </c>
      <c r="J355" s="834"/>
      <c r="K355" s="482">
        <f>IF(D355="Exit Signs",0,IF(F355&gt;0,F355*I355*J355,0))</f>
        <v>0</v>
      </c>
      <c r="L355" s="483" t="e">
        <f t="shared" si="71"/>
        <v>#DIV/0!</v>
      </c>
      <c r="M355" s="483" t="str">
        <f t="shared" si="72"/>
        <v>NA</v>
      </c>
      <c r="N355" s="600" t="b">
        <f t="shared" si="73"/>
        <v>0</v>
      </c>
      <c r="O355" s="612">
        <f t="shared" si="74"/>
        <v>0</v>
      </c>
      <c r="P355" s="613" t="e">
        <f t="shared" si="75"/>
        <v>#N/A</v>
      </c>
      <c r="Q355" s="424" t="e">
        <f t="shared" si="76"/>
        <v>#N/A</v>
      </c>
      <c r="R355" s="611" t="e">
        <f t="shared" si="77"/>
        <v>#N/A</v>
      </c>
      <c r="S355" s="484">
        <f t="shared" si="78"/>
        <v>0</v>
      </c>
      <c r="T355" s="374">
        <f t="shared" si="79"/>
      </c>
      <c r="U355" s="374">
        <f t="shared" si="68"/>
      </c>
    </row>
    <row r="356" spans="1:21" ht="12.75">
      <c r="A356" s="847"/>
      <c r="B356" s="842"/>
      <c r="C356" s="827"/>
      <c r="D356" s="827"/>
      <c r="E356" s="588" t="e">
        <f t="shared" si="69"/>
        <v>#N/A</v>
      </c>
      <c r="F356" s="831"/>
      <c r="G356" s="831"/>
      <c r="H356" s="831"/>
      <c r="I356" s="481" t="e">
        <f t="shared" si="70"/>
        <v>#N/A</v>
      </c>
      <c r="J356" s="834"/>
      <c r="K356" s="482">
        <f>IF(D356="Exit Signs",0,IF(F356&gt;0,F356*I356*J356,0))</f>
        <v>0</v>
      </c>
      <c r="L356" s="483" t="e">
        <f t="shared" si="71"/>
        <v>#DIV/0!</v>
      </c>
      <c r="M356" s="483" t="str">
        <f t="shared" si="72"/>
        <v>NA</v>
      </c>
      <c r="N356" s="600" t="b">
        <f t="shared" si="73"/>
        <v>0</v>
      </c>
      <c r="O356" s="612">
        <f t="shared" si="74"/>
        <v>0</v>
      </c>
      <c r="P356" s="613" t="e">
        <f t="shared" si="75"/>
        <v>#N/A</v>
      </c>
      <c r="Q356" s="424" t="e">
        <f t="shared" si="76"/>
        <v>#N/A</v>
      </c>
      <c r="R356" s="611" t="e">
        <f t="shared" si="77"/>
        <v>#N/A</v>
      </c>
      <c r="S356" s="484">
        <f t="shared" si="78"/>
        <v>0</v>
      </c>
      <c r="T356" s="374">
        <f t="shared" si="79"/>
      </c>
      <c r="U356" s="374">
        <f t="shared" si="68"/>
      </c>
    </row>
    <row r="357" spans="1:21" ht="12.75">
      <c r="A357" s="847"/>
      <c r="B357" s="842"/>
      <c r="C357" s="827"/>
      <c r="D357" s="827"/>
      <c r="E357" s="588" t="e">
        <f t="shared" si="69"/>
        <v>#N/A</v>
      </c>
      <c r="F357" s="831"/>
      <c r="G357" s="831"/>
      <c r="H357" s="831"/>
      <c r="I357" s="481" t="e">
        <f t="shared" si="70"/>
        <v>#N/A</v>
      </c>
      <c r="J357" s="834"/>
      <c r="K357" s="482">
        <f>IF(D357="Exit Signs",0,IF(F357&gt;0,F357*I357*J357,0))</f>
        <v>0</v>
      </c>
      <c r="L357" s="483" t="e">
        <f t="shared" si="71"/>
        <v>#DIV/0!</v>
      </c>
      <c r="M357" s="483" t="str">
        <f t="shared" si="72"/>
        <v>NA</v>
      </c>
      <c r="N357" s="600" t="b">
        <f t="shared" si="73"/>
        <v>0</v>
      </c>
      <c r="O357" s="612">
        <f t="shared" si="74"/>
        <v>0</v>
      </c>
      <c r="P357" s="613" t="e">
        <f t="shared" si="75"/>
        <v>#N/A</v>
      </c>
      <c r="Q357" s="424" t="e">
        <f t="shared" si="76"/>
        <v>#N/A</v>
      </c>
      <c r="R357" s="611" t="e">
        <f t="shared" si="77"/>
        <v>#N/A</v>
      </c>
      <c r="S357" s="484">
        <f t="shared" si="78"/>
        <v>0</v>
      </c>
      <c r="T357" s="374">
        <f t="shared" si="79"/>
      </c>
      <c r="U357" s="374">
        <f t="shared" si="68"/>
      </c>
    </row>
    <row r="358" spans="3:14" ht="12.75">
      <c r="C358" s="548"/>
      <c r="D358" s="548"/>
      <c r="F358" s="574"/>
      <c r="G358" s="574"/>
      <c r="K358" s="574"/>
      <c r="M358" s="459"/>
      <c r="N358" s="727"/>
    </row>
    <row r="359" spans="3:13" ht="12.75">
      <c r="C359" s="548"/>
      <c r="D359" s="548"/>
      <c r="E359" s="574"/>
      <c r="F359" s="574"/>
      <c r="L359" s="399"/>
      <c r="M359" s="19"/>
    </row>
    <row r="360" spans="3:13" ht="12.75">
      <c r="C360" s="548"/>
      <c r="D360" s="548"/>
      <c r="E360" s="574"/>
      <c r="F360" s="574"/>
      <c r="L360" s="399"/>
      <c r="M360" s="19"/>
    </row>
    <row r="361" spans="3:13" ht="12.75">
      <c r="C361" s="548"/>
      <c r="D361" s="548"/>
      <c r="E361" s="574"/>
      <c r="F361" s="574"/>
      <c r="L361" s="399"/>
      <c r="M361" s="19"/>
    </row>
    <row r="362" spans="1:13" ht="12.75">
      <c r="A362" s="551"/>
      <c r="C362" s="548"/>
      <c r="D362" s="548"/>
      <c r="E362" s="574"/>
      <c r="F362" s="574"/>
      <c r="L362" s="399"/>
      <c r="M362" s="19"/>
    </row>
    <row r="363" spans="3:13" ht="12.75">
      <c r="C363" s="548"/>
      <c r="D363" s="548"/>
      <c r="E363" s="574"/>
      <c r="F363" s="574"/>
      <c r="L363" s="399"/>
      <c r="M363" s="19"/>
    </row>
    <row r="364" spans="2:13" ht="12.75">
      <c r="B364" s="15"/>
      <c r="C364" s="548"/>
      <c r="D364" s="548"/>
      <c r="E364" s="574"/>
      <c r="F364" s="574"/>
      <c r="L364" s="399"/>
      <c r="M364" s="19"/>
    </row>
    <row r="365" spans="3:13" ht="12.75">
      <c r="C365" s="548"/>
      <c r="D365" s="548"/>
      <c r="E365" s="574"/>
      <c r="F365" s="574"/>
      <c r="L365" s="399"/>
      <c r="M365" s="19"/>
    </row>
    <row r="366" spans="3:13" ht="12.75">
      <c r="C366" s="548"/>
      <c r="D366" s="548"/>
      <c r="E366" s="574"/>
      <c r="F366" s="574"/>
      <c r="L366" s="399"/>
      <c r="M366" s="19"/>
    </row>
    <row r="367" spans="3:13" ht="12.75">
      <c r="C367" s="548"/>
      <c r="D367" s="548"/>
      <c r="E367" s="574"/>
      <c r="F367" s="574"/>
      <c r="L367" s="399"/>
      <c r="M367" s="19"/>
    </row>
    <row r="368" spans="3:13" ht="12.75">
      <c r="C368" s="548"/>
      <c r="D368" s="548"/>
      <c r="E368" s="574"/>
      <c r="F368" s="574"/>
      <c r="L368" s="399"/>
      <c r="M368" s="19"/>
    </row>
    <row r="369" spans="3:13" ht="12.75">
      <c r="C369" s="548"/>
      <c r="D369" s="548"/>
      <c r="E369" s="574"/>
      <c r="F369" s="574"/>
      <c r="L369" s="399"/>
      <c r="M369" s="19"/>
    </row>
    <row r="370" spans="3:13" ht="12.75">
      <c r="C370" s="548"/>
      <c r="D370" s="548"/>
      <c r="E370" s="574"/>
      <c r="F370" s="574"/>
      <c r="L370" s="399"/>
      <c r="M370" s="19"/>
    </row>
    <row r="371" spans="3:13" ht="12.75">
      <c r="C371" s="548"/>
      <c r="D371" s="548"/>
      <c r="E371" s="574"/>
      <c r="F371" s="574"/>
      <c r="L371" s="399"/>
      <c r="M371" s="19"/>
    </row>
    <row r="372" spans="3:13" ht="12.75">
      <c r="C372" s="548"/>
      <c r="D372" s="548"/>
      <c r="E372" s="574"/>
      <c r="F372" s="574"/>
      <c r="L372" s="399"/>
      <c r="M372" s="19"/>
    </row>
    <row r="373" spans="3:13" ht="12.75">
      <c r="C373" s="548"/>
      <c r="D373" s="548"/>
      <c r="E373" s="574"/>
      <c r="F373" s="574"/>
      <c r="L373" s="399"/>
      <c r="M373" s="19"/>
    </row>
    <row r="374" spans="3:13" ht="12.75">
      <c r="C374" s="548"/>
      <c r="D374" s="548"/>
      <c r="E374" s="574"/>
      <c r="F374" s="574"/>
      <c r="L374" s="399"/>
      <c r="M374" s="19"/>
    </row>
    <row r="375" spans="3:13" ht="12.75">
      <c r="C375" s="548"/>
      <c r="D375" s="548"/>
      <c r="E375" s="574"/>
      <c r="F375" s="574"/>
      <c r="L375" s="399"/>
      <c r="M375" s="19"/>
    </row>
    <row r="376" spans="3:13" ht="12.75">
      <c r="C376" s="548"/>
      <c r="D376" s="548"/>
      <c r="E376" s="574"/>
      <c r="F376" s="574"/>
      <c r="L376" s="399"/>
      <c r="M376" s="19"/>
    </row>
    <row r="377" spans="3:13" ht="12.75">
      <c r="C377" s="548"/>
      <c r="D377" s="548"/>
      <c r="E377" s="574"/>
      <c r="F377" s="574"/>
      <c r="L377" s="399"/>
      <c r="M377" s="19"/>
    </row>
    <row r="378" spans="3:13" ht="12.75">
      <c r="C378" s="548"/>
      <c r="D378" s="548"/>
      <c r="E378" s="574"/>
      <c r="F378" s="574"/>
      <c r="L378" s="399"/>
      <c r="M378" s="19"/>
    </row>
    <row r="379" spans="3:13" ht="12.75">
      <c r="C379" s="548"/>
      <c r="D379" s="548"/>
      <c r="E379" s="574"/>
      <c r="F379" s="574"/>
      <c r="L379" s="399"/>
      <c r="M379" s="19"/>
    </row>
    <row r="380" spans="3:13" ht="12.75">
      <c r="C380" s="548"/>
      <c r="D380" s="548"/>
      <c r="E380" s="574"/>
      <c r="F380" s="574"/>
      <c r="L380" s="399"/>
      <c r="M380" s="19"/>
    </row>
    <row r="381" spans="3:13" ht="12.75">
      <c r="C381" s="548"/>
      <c r="D381" s="548"/>
      <c r="E381" s="574"/>
      <c r="F381" s="574"/>
      <c r="L381" s="399"/>
      <c r="M381" s="19"/>
    </row>
    <row r="382" spans="3:13" ht="12.75">
      <c r="C382" s="548"/>
      <c r="D382" s="548"/>
      <c r="E382" s="574"/>
      <c r="F382" s="574"/>
      <c r="L382" s="399"/>
      <c r="M382" s="19"/>
    </row>
    <row r="383" spans="3:13" ht="12.75">
      <c r="C383" s="548"/>
      <c r="D383" s="548"/>
      <c r="E383" s="574"/>
      <c r="F383" s="574"/>
      <c r="L383" s="399"/>
      <c r="M383" s="19"/>
    </row>
    <row r="384" spans="3:13" ht="12.75">
      <c r="C384" s="548"/>
      <c r="D384" s="548"/>
      <c r="E384" s="574"/>
      <c r="F384" s="574"/>
      <c r="L384" s="399"/>
      <c r="M384" s="19"/>
    </row>
    <row r="385" spans="3:13" ht="12.75">
      <c r="C385" s="548"/>
      <c r="D385" s="548"/>
      <c r="E385" s="574"/>
      <c r="F385" s="574"/>
      <c r="L385" s="399"/>
      <c r="M385" s="19"/>
    </row>
    <row r="386" spans="3:13" ht="12.75">
      <c r="C386" s="548"/>
      <c r="D386" s="548"/>
      <c r="E386" s="574"/>
      <c r="F386" s="574"/>
      <c r="L386" s="399"/>
      <c r="M386" s="19"/>
    </row>
    <row r="387" spans="3:13" ht="12.75">
      <c r="C387" s="548"/>
      <c r="D387" s="548"/>
      <c r="E387" s="574"/>
      <c r="F387" s="574"/>
      <c r="L387" s="399"/>
      <c r="M387" s="19"/>
    </row>
    <row r="388" spans="3:13" ht="12.75">
      <c r="C388" s="548"/>
      <c r="D388" s="548"/>
      <c r="E388" s="574"/>
      <c r="F388" s="574"/>
      <c r="L388" s="399"/>
      <c r="M388" s="19"/>
    </row>
    <row r="389" spans="3:13" ht="12.75">
      <c r="C389" s="548"/>
      <c r="D389" s="548"/>
      <c r="E389" s="574"/>
      <c r="F389" s="574"/>
      <c r="L389" s="399"/>
      <c r="M389" s="19"/>
    </row>
    <row r="390" spans="3:13" ht="12.75">
      <c r="C390" s="548"/>
      <c r="D390" s="548"/>
      <c r="E390" s="574"/>
      <c r="F390" s="574"/>
      <c r="L390" s="399"/>
      <c r="M390" s="19"/>
    </row>
    <row r="391" spans="3:13" ht="12.75">
      <c r="C391" s="548"/>
      <c r="D391" s="548"/>
      <c r="E391" s="574"/>
      <c r="F391" s="574"/>
      <c r="L391" s="399"/>
      <c r="M391" s="19"/>
    </row>
    <row r="392" spans="3:13" ht="12.75">
      <c r="C392" s="548"/>
      <c r="D392" s="548"/>
      <c r="E392" s="574"/>
      <c r="F392" s="574"/>
      <c r="L392" s="399"/>
      <c r="M392" s="19"/>
    </row>
    <row r="393" spans="3:13" ht="12.75">
      <c r="C393" s="548"/>
      <c r="D393" s="548"/>
      <c r="E393" s="574"/>
      <c r="F393" s="574"/>
      <c r="L393" s="399"/>
      <c r="M393" s="19"/>
    </row>
    <row r="394" spans="3:13" ht="12.75">
      <c r="C394" s="548"/>
      <c r="D394" s="548"/>
      <c r="E394" s="574"/>
      <c r="F394" s="574"/>
      <c r="L394" s="399"/>
      <c r="M394" s="19"/>
    </row>
    <row r="395" spans="3:13" ht="12.75">
      <c r="C395" s="548"/>
      <c r="D395" s="548"/>
      <c r="E395" s="574"/>
      <c r="F395" s="574"/>
      <c r="L395" s="399"/>
      <c r="M395" s="19"/>
    </row>
    <row r="396" spans="3:13" ht="12.75">
      <c r="C396" s="548"/>
      <c r="D396" s="548"/>
      <c r="E396" s="574"/>
      <c r="F396" s="574"/>
      <c r="L396" s="399"/>
      <c r="M396" s="19"/>
    </row>
    <row r="397" spans="3:13" ht="12.75">
      <c r="C397" s="548"/>
      <c r="D397" s="548"/>
      <c r="E397" s="574"/>
      <c r="F397" s="574"/>
      <c r="L397" s="399"/>
      <c r="M397" s="19"/>
    </row>
    <row r="398" spans="3:13" ht="12.75">
      <c r="C398" s="548"/>
      <c r="D398" s="548"/>
      <c r="E398" s="574"/>
      <c r="F398" s="574"/>
      <c r="L398" s="399"/>
      <c r="M398" s="19"/>
    </row>
    <row r="399" spans="4:13" ht="12.75">
      <c r="D399" s="475"/>
      <c r="L399" s="399"/>
      <c r="M399" s="19"/>
    </row>
    <row r="400" spans="4:13" ht="12.75">
      <c r="D400" s="475"/>
      <c r="L400" s="399"/>
      <c r="M400" s="19"/>
    </row>
    <row r="401" spans="4:13" ht="12.75">
      <c r="D401" s="475"/>
      <c r="L401" s="399"/>
      <c r="M401" s="19"/>
    </row>
    <row r="402" spans="4:13" ht="12.75">
      <c r="D402" s="475"/>
      <c r="L402" s="399"/>
      <c r="M402" s="19"/>
    </row>
    <row r="403" spans="4:13" ht="12.75">
      <c r="D403" s="475"/>
      <c r="L403" s="399"/>
      <c r="M403" s="19"/>
    </row>
    <row r="404" spans="4:13" ht="12.75">
      <c r="D404" s="475"/>
      <c r="L404" s="399"/>
      <c r="M404" s="19"/>
    </row>
    <row r="405" spans="4:13" ht="12.75">
      <c r="D405" s="475"/>
      <c r="L405" s="399"/>
      <c r="M405" s="19"/>
    </row>
    <row r="406" spans="4:13" ht="12.75">
      <c r="D406" s="475"/>
      <c r="L406" s="399"/>
      <c r="M406" s="19"/>
    </row>
    <row r="407" spans="4:13" ht="12.75">
      <c r="D407" s="475"/>
      <c r="L407" s="399"/>
      <c r="M407" s="19"/>
    </row>
    <row r="408" spans="4:13" ht="12.75">
      <c r="D408" s="475"/>
      <c r="L408" s="399"/>
      <c r="M408" s="19"/>
    </row>
    <row r="409" spans="4:13" ht="12.75">
      <c r="D409" s="475"/>
      <c r="L409" s="399"/>
      <c r="M409" s="19"/>
    </row>
    <row r="410" spans="4:13" ht="12.75">
      <c r="D410" s="475"/>
      <c r="L410" s="399"/>
      <c r="M410" s="19"/>
    </row>
    <row r="411" spans="4:13" ht="12.75">
      <c r="D411" s="475"/>
      <c r="L411" s="399"/>
      <c r="M411" s="19"/>
    </row>
    <row r="412" spans="4:13" ht="12.75">
      <c r="D412" s="475"/>
      <c r="L412" s="399"/>
      <c r="M412" s="19"/>
    </row>
    <row r="413" spans="4:13" ht="12.75">
      <c r="D413" s="475"/>
      <c r="L413" s="399"/>
      <c r="M413" s="19"/>
    </row>
    <row r="414" spans="4:13" ht="12.75">
      <c r="D414" s="475"/>
      <c r="L414" s="399"/>
      <c r="M414" s="19"/>
    </row>
    <row r="415" spans="4:13" ht="12.75">
      <c r="D415" s="475"/>
      <c r="L415" s="399"/>
      <c r="M415" s="19"/>
    </row>
    <row r="416" spans="4:13" ht="12.75">
      <c r="D416" s="475"/>
      <c r="L416" s="399"/>
      <c r="M416" s="19"/>
    </row>
    <row r="417" spans="4:13" ht="12.75">
      <c r="D417" s="475"/>
      <c r="L417" s="399"/>
      <c r="M417" s="19"/>
    </row>
    <row r="418" spans="4:12" ht="12.75">
      <c r="D418" s="475"/>
      <c r="L418" s="399"/>
    </row>
    <row r="419" spans="4:12" ht="12.75">
      <c r="D419" s="475"/>
      <c r="L419" s="399"/>
    </row>
    <row r="420" spans="4:12" ht="12.75">
      <c r="D420" s="475"/>
      <c r="L420" s="399"/>
    </row>
    <row r="421" spans="4:12" ht="12.75">
      <c r="D421" s="475"/>
      <c r="L421" s="399"/>
    </row>
    <row r="422" spans="4:12" ht="12.75">
      <c r="D422" s="475"/>
      <c r="L422" s="399"/>
    </row>
    <row r="423" spans="4:12" ht="12.75">
      <c r="D423" s="475"/>
      <c r="L423" s="399"/>
    </row>
    <row r="424" spans="4:12" ht="12.75">
      <c r="D424" s="475"/>
      <c r="L424" s="399"/>
    </row>
    <row r="425" spans="4:12" ht="12.75">
      <c r="D425" s="475"/>
      <c r="L425" s="399"/>
    </row>
    <row r="426" spans="4:12" ht="12.75">
      <c r="D426" s="475"/>
      <c r="L426" s="399"/>
    </row>
    <row r="427" spans="4:12" ht="12.75">
      <c r="D427" s="475"/>
      <c r="L427" s="399"/>
    </row>
    <row r="428" spans="4:12" ht="12.75">
      <c r="D428" s="475"/>
      <c r="L428" s="399"/>
    </row>
    <row r="429" spans="4:12" ht="12.75">
      <c r="D429" s="475"/>
      <c r="L429" s="399"/>
    </row>
    <row r="430" spans="4:12" ht="12.75">
      <c r="D430" s="475"/>
      <c r="L430" s="399"/>
    </row>
    <row r="431" spans="4:12" ht="12.75">
      <c r="D431" s="475"/>
      <c r="L431" s="399"/>
    </row>
    <row r="432" spans="4:12" ht="12.75">
      <c r="D432" s="475"/>
      <c r="L432" s="399"/>
    </row>
    <row r="433" spans="4:12" ht="12.75">
      <c r="D433" s="475"/>
      <c r="L433" s="399"/>
    </row>
    <row r="434" spans="4:12" ht="12.75">
      <c r="D434" s="475"/>
      <c r="L434" s="399"/>
    </row>
    <row r="435" spans="4:12" ht="12.75">
      <c r="D435" s="475"/>
      <c r="L435" s="399"/>
    </row>
    <row r="436" spans="4:12" ht="12.75">
      <c r="D436" s="475"/>
      <c r="L436" s="399"/>
    </row>
    <row r="437" spans="4:12" ht="12.75">
      <c r="D437" s="475"/>
      <c r="L437" s="399"/>
    </row>
    <row r="438" spans="4:12" ht="12.75">
      <c r="D438" s="475"/>
      <c r="L438" s="399"/>
    </row>
    <row r="439" spans="4:12" ht="12.75">
      <c r="D439" s="475"/>
      <c r="L439" s="399"/>
    </row>
    <row r="440" spans="4:12" ht="12.75">
      <c r="D440" s="475"/>
      <c r="L440" s="399"/>
    </row>
    <row r="441" spans="4:12" ht="12.75">
      <c r="D441" s="475"/>
      <c r="L441" s="399"/>
    </row>
    <row r="442" spans="4:12" ht="12.75">
      <c r="D442" s="475"/>
      <c r="L442" s="399"/>
    </row>
    <row r="443" spans="4:12" ht="12.75">
      <c r="D443" s="475"/>
      <c r="L443" s="399"/>
    </row>
    <row r="444" spans="4:12" ht="12.75">
      <c r="D444" s="475"/>
      <c r="L444" s="399"/>
    </row>
    <row r="445" spans="4:12" ht="12.75">
      <c r="D445" s="475"/>
      <c r="L445" s="399"/>
    </row>
    <row r="446" spans="4:12" ht="12.75">
      <c r="D446" s="475"/>
      <c r="L446" s="399"/>
    </row>
    <row r="447" spans="4:12" ht="12.75">
      <c r="D447" s="475"/>
      <c r="L447" s="399"/>
    </row>
    <row r="448" spans="4:12" ht="12.75">
      <c r="D448" s="475"/>
      <c r="L448" s="399"/>
    </row>
    <row r="449" spans="4:12" ht="12.75">
      <c r="D449" s="475"/>
      <c r="L449" s="399"/>
    </row>
    <row r="450" spans="4:12" ht="12.75">
      <c r="D450" s="475"/>
      <c r="L450" s="399"/>
    </row>
    <row r="451" ht="12.75">
      <c r="L451" s="399"/>
    </row>
    <row r="452" ht="12.75">
      <c r="L452" s="399"/>
    </row>
    <row r="453" ht="12.75">
      <c r="L453" s="399"/>
    </row>
    <row r="454" ht="12.75">
      <c r="L454" s="399"/>
    </row>
    <row r="455" ht="12.75">
      <c r="L455" s="399"/>
    </row>
    <row r="456" ht="12.75">
      <c r="L456" s="399"/>
    </row>
    <row r="457" ht="12.75">
      <c r="L457" s="399"/>
    </row>
    <row r="458" ht="12.75">
      <c r="L458" s="399"/>
    </row>
    <row r="459" ht="12.75">
      <c r="L459" s="399"/>
    </row>
    <row r="460" ht="12.75">
      <c r="L460" s="399"/>
    </row>
    <row r="461" ht="12.75">
      <c r="L461" s="399"/>
    </row>
    <row r="462" ht="12.75">
      <c r="L462" s="399"/>
    </row>
    <row r="463" ht="12.75">
      <c r="L463" s="399"/>
    </row>
    <row r="464" ht="12.75">
      <c r="L464" s="399"/>
    </row>
    <row r="465" ht="12.75">
      <c r="L465" s="399"/>
    </row>
    <row r="466" ht="12.75">
      <c r="L466" s="399"/>
    </row>
    <row r="467" ht="12.75">
      <c r="L467" s="399"/>
    </row>
    <row r="468" ht="12.75">
      <c r="L468" s="399"/>
    </row>
    <row r="469" ht="12.75">
      <c r="L469" s="399"/>
    </row>
    <row r="470" ht="12.75">
      <c r="L470" s="399"/>
    </row>
    <row r="471" ht="12.75">
      <c r="L471" s="399"/>
    </row>
    <row r="472" ht="12.75">
      <c r="L472" s="399"/>
    </row>
    <row r="473" ht="12.75">
      <c r="L473" s="399"/>
    </row>
    <row r="474" ht="12.75">
      <c r="L474" s="399"/>
    </row>
    <row r="475" ht="12.75">
      <c r="L475" s="399"/>
    </row>
    <row r="476" ht="12.75">
      <c r="L476" s="399"/>
    </row>
    <row r="477" ht="12.75">
      <c r="L477" s="399"/>
    </row>
    <row r="478" ht="12.75">
      <c r="L478" s="399"/>
    </row>
    <row r="479" ht="12.75">
      <c r="L479" s="399"/>
    </row>
    <row r="480" ht="12.75">
      <c r="L480" s="399"/>
    </row>
    <row r="481" ht="12.75">
      <c r="L481" s="399"/>
    </row>
    <row r="482" ht="12.75">
      <c r="L482" s="399"/>
    </row>
    <row r="483" ht="12.75">
      <c r="L483" s="399"/>
    </row>
    <row r="484" ht="12.75">
      <c r="L484" s="399"/>
    </row>
    <row r="485" ht="12.75">
      <c r="L485" s="399"/>
    </row>
    <row r="486" ht="12.75">
      <c r="L486" s="399"/>
    </row>
    <row r="487" ht="12.75">
      <c r="L487" s="399"/>
    </row>
    <row r="488" ht="12.75">
      <c r="L488" s="399"/>
    </row>
    <row r="489" ht="12.75">
      <c r="L489" s="399"/>
    </row>
    <row r="490" ht="12.75">
      <c r="L490" s="399"/>
    </row>
    <row r="491" ht="12.75">
      <c r="L491" s="399"/>
    </row>
    <row r="492" ht="12.75">
      <c r="L492" s="399"/>
    </row>
    <row r="493" ht="12.75">
      <c r="L493" s="399"/>
    </row>
    <row r="494" ht="12.75">
      <c r="L494" s="399"/>
    </row>
    <row r="495" ht="12.75">
      <c r="L495" s="399"/>
    </row>
    <row r="496" ht="12.75">
      <c r="L496" s="399"/>
    </row>
    <row r="497" ht="12.75">
      <c r="L497" s="399"/>
    </row>
    <row r="498" ht="12.75">
      <c r="L498" s="399"/>
    </row>
    <row r="499" ht="12.75">
      <c r="L499" s="399"/>
    </row>
    <row r="500" ht="12.75">
      <c r="L500" s="399"/>
    </row>
    <row r="501" ht="12.75">
      <c r="L501" s="399"/>
    </row>
    <row r="502" ht="12.75">
      <c r="L502" s="399"/>
    </row>
    <row r="503" ht="12.75">
      <c r="L503" s="399"/>
    </row>
    <row r="504" ht="12.75">
      <c r="L504" s="19"/>
    </row>
    <row r="505" ht="12.75">
      <c r="L505" s="19"/>
    </row>
    <row r="506" ht="12.75">
      <c r="L506" s="19"/>
    </row>
    <row r="507" ht="12.75">
      <c r="L507" s="19"/>
    </row>
    <row r="508" ht="12.75">
      <c r="L508" s="19"/>
    </row>
    <row r="509" ht="12.75">
      <c r="L509" s="19"/>
    </row>
    <row r="510" ht="12.75">
      <c r="L510" s="19"/>
    </row>
    <row r="511" ht="12.75">
      <c r="L511" s="19"/>
    </row>
    <row r="512" ht="12.75">
      <c r="L512" s="19"/>
    </row>
    <row r="513" ht="12.75">
      <c r="L513" s="19"/>
    </row>
    <row r="514" ht="12.75">
      <c r="L514" s="19"/>
    </row>
    <row r="515" ht="12.75">
      <c r="L515" s="19"/>
    </row>
    <row r="516" ht="12.75">
      <c r="L516" s="19"/>
    </row>
    <row r="517" ht="12.75">
      <c r="L517" s="19"/>
    </row>
    <row r="518" ht="12.75">
      <c r="L518" s="19"/>
    </row>
    <row r="519" ht="12.75">
      <c r="L519" s="19"/>
    </row>
    <row r="520" ht="12.75">
      <c r="L520" s="19"/>
    </row>
    <row r="521" ht="12.75">
      <c r="L521" s="19"/>
    </row>
    <row r="522" ht="12.75">
      <c r="L522" s="19"/>
    </row>
    <row r="523" ht="12.75">
      <c r="L523" s="19"/>
    </row>
    <row r="524" ht="12.75">
      <c r="L524" s="19"/>
    </row>
    <row r="525" ht="12.75">
      <c r="L525" s="19"/>
    </row>
    <row r="526" ht="12.75">
      <c r="L526" s="19"/>
    </row>
    <row r="527" ht="12.75">
      <c r="L527" s="19"/>
    </row>
    <row r="528" ht="12.75">
      <c r="L528" s="19"/>
    </row>
    <row r="529" ht="12.75">
      <c r="L529" s="19"/>
    </row>
    <row r="530" ht="12.75">
      <c r="L530" s="19"/>
    </row>
    <row r="531" ht="12.75">
      <c r="L531" s="19"/>
    </row>
    <row r="532" ht="12.75">
      <c r="L532" s="19"/>
    </row>
    <row r="533" ht="12.75">
      <c r="L533" s="19"/>
    </row>
    <row r="534" ht="12.75">
      <c r="L534" s="19"/>
    </row>
    <row r="535" ht="12.75">
      <c r="L535" s="19"/>
    </row>
    <row r="536" ht="12.75">
      <c r="L536" s="19"/>
    </row>
    <row r="537" ht="12.75">
      <c r="L537" s="19"/>
    </row>
    <row r="538" ht="12.75">
      <c r="L538" s="19"/>
    </row>
    <row r="539" ht="12.75">
      <c r="L539" s="19"/>
    </row>
    <row r="540" ht="12.75">
      <c r="L540" s="19"/>
    </row>
    <row r="541" ht="12.75">
      <c r="L541" s="19"/>
    </row>
    <row r="542" ht="12.75">
      <c r="L542" s="19"/>
    </row>
    <row r="543" ht="12.75">
      <c r="L543" s="19"/>
    </row>
    <row r="544" ht="12.75">
      <c r="L544" s="19"/>
    </row>
    <row r="545" ht="12.75">
      <c r="L545" s="19"/>
    </row>
    <row r="546" ht="12.75">
      <c r="L546" s="19"/>
    </row>
    <row r="547" ht="12.75">
      <c r="L547" s="19"/>
    </row>
    <row r="548" ht="12.75">
      <c r="L548" s="19"/>
    </row>
    <row r="549" ht="12.75">
      <c r="L549" s="19"/>
    </row>
    <row r="550" ht="12.75">
      <c r="L550" s="19"/>
    </row>
    <row r="551" ht="12.75">
      <c r="L551" s="19"/>
    </row>
    <row r="552" ht="12.75">
      <c r="L552" s="19"/>
    </row>
    <row r="553" ht="12.75">
      <c r="L553" s="19"/>
    </row>
    <row r="554" ht="12.75">
      <c r="L554" s="19"/>
    </row>
    <row r="555" ht="12.75">
      <c r="L555" s="19"/>
    </row>
    <row r="556" ht="12.75">
      <c r="L556" s="19"/>
    </row>
    <row r="557" ht="12.75">
      <c r="L557" s="19"/>
    </row>
    <row r="558" ht="12.75">
      <c r="L558" s="19"/>
    </row>
    <row r="559" ht="12.75">
      <c r="L559" s="19"/>
    </row>
    <row r="560" ht="12.75">
      <c r="L560" s="19"/>
    </row>
    <row r="561" ht="12.75">
      <c r="L561" s="19"/>
    </row>
    <row r="562" ht="12.75">
      <c r="L562" s="19"/>
    </row>
    <row r="563" ht="12.75">
      <c r="L563" s="19"/>
    </row>
    <row r="564" ht="12.75">
      <c r="L564" s="19"/>
    </row>
    <row r="565" ht="12.75">
      <c r="L565" s="19"/>
    </row>
    <row r="566" ht="12.75">
      <c r="L566" s="19"/>
    </row>
    <row r="567" ht="12.75">
      <c r="L567" s="19"/>
    </row>
    <row r="568" ht="12.75">
      <c r="L568" s="19"/>
    </row>
    <row r="569" ht="12.75">
      <c r="L569" s="19"/>
    </row>
    <row r="570" ht="12.75">
      <c r="L570" s="19"/>
    </row>
    <row r="571" ht="12.75">
      <c r="L571" s="19"/>
    </row>
    <row r="572" ht="12.75">
      <c r="L572" s="19"/>
    </row>
    <row r="573" ht="12.75">
      <c r="L573" s="19"/>
    </row>
    <row r="574" ht="12.75">
      <c r="L574" s="19"/>
    </row>
    <row r="575" ht="12.75">
      <c r="L575" s="19"/>
    </row>
    <row r="576" ht="12.75">
      <c r="L576" s="19"/>
    </row>
    <row r="577" ht="12.75">
      <c r="L577" s="19"/>
    </row>
    <row r="578" ht="12.75">
      <c r="L578" s="19"/>
    </row>
    <row r="579" ht="12.75">
      <c r="L579" s="19"/>
    </row>
    <row r="580" ht="12.75">
      <c r="L580" s="19"/>
    </row>
    <row r="581" ht="12.75">
      <c r="L581" s="19"/>
    </row>
    <row r="582" ht="12.75">
      <c r="L582" s="19"/>
    </row>
    <row r="583" ht="12.75">
      <c r="L583" s="19"/>
    </row>
    <row r="584" ht="12.75">
      <c r="L584" s="19"/>
    </row>
    <row r="585" ht="12.75">
      <c r="L585" s="19"/>
    </row>
    <row r="586" ht="12.75">
      <c r="L586" s="19"/>
    </row>
    <row r="587" ht="12.75">
      <c r="L587" s="19"/>
    </row>
    <row r="588" ht="12.75">
      <c r="L588" s="19"/>
    </row>
    <row r="589" ht="12.75">
      <c r="L589" s="19"/>
    </row>
    <row r="590" ht="12.75">
      <c r="L590" s="19"/>
    </row>
    <row r="591" ht="12.75">
      <c r="L591" s="19"/>
    </row>
    <row r="592" ht="12.75">
      <c r="L592" s="19"/>
    </row>
    <row r="593" ht="12.75">
      <c r="L593" s="19"/>
    </row>
    <row r="594" ht="12.75">
      <c r="L594" s="19"/>
    </row>
    <row r="595" ht="12.75">
      <c r="L595" s="19"/>
    </row>
    <row r="596" ht="12.75">
      <c r="L596" s="19"/>
    </row>
    <row r="597" ht="12.75">
      <c r="L597" s="19"/>
    </row>
    <row r="598" ht="12.75">
      <c r="L598" s="19"/>
    </row>
    <row r="599" ht="12.75">
      <c r="L599" s="19"/>
    </row>
    <row r="600" ht="12.75">
      <c r="L600" s="19"/>
    </row>
    <row r="601" ht="12.75">
      <c r="L601" s="19"/>
    </row>
    <row r="602" ht="12.75">
      <c r="L602" s="19"/>
    </row>
    <row r="603" ht="12.75">
      <c r="L603" s="19"/>
    </row>
    <row r="604" ht="12.75">
      <c r="L604" s="19"/>
    </row>
    <row r="605" ht="12.75">
      <c r="L605" s="19"/>
    </row>
    <row r="606" ht="12.75">
      <c r="L606" s="19"/>
    </row>
    <row r="607" ht="12.75">
      <c r="L607" s="19"/>
    </row>
    <row r="608" ht="12.75">
      <c r="L608" s="19"/>
    </row>
    <row r="609" ht="12.75">
      <c r="L609" s="19"/>
    </row>
    <row r="610" ht="12.75">
      <c r="L610" s="19"/>
    </row>
    <row r="611" ht="12.75">
      <c r="L611" s="19"/>
    </row>
    <row r="612" ht="12.75">
      <c r="L612" s="19"/>
    </row>
    <row r="613" ht="12.75">
      <c r="L613" s="19"/>
    </row>
    <row r="614" ht="12.75">
      <c r="L614" s="19"/>
    </row>
    <row r="615" ht="12.75">
      <c r="L615" s="19"/>
    </row>
    <row r="616" ht="12.75">
      <c r="L616" s="19"/>
    </row>
    <row r="617" ht="12.75">
      <c r="L617" s="19"/>
    </row>
    <row r="618" ht="12.75">
      <c r="L618" s="19"/>
    </row>
    <row r="619" ht="12.75">
      <c r="L619" s="19"/>
    </row>
    <row r="620" ht="12.75">
      <c r="L620" s="19"/>
    </row>
    <row r="621" ht="12.75">
      <c r="L621" s="19"/>
    </row>
    <row r="622" ht="12.75">
      <c r="L622" s="19"/>
    </row>
    <row r="623" ht="12.75">
      <c r="L623" s="19"/>
    </row>
    <row r="624" ht="12.75">
      <c r="L624" s="19"/>
    </row>
    <row r="625" ht="12.75">
      <c r="L625" s="19"/>
    </row>
    <row r="626" ht="12.75">
      <c r="L626" s="19"/>
    </row>
    <row r="627" ht="12.75">
      <c r="L627" s="19"/>
    </row>
    <row r="628" ht="12.75">
      <c r="L628" s="19"/>
    </row>
    <row r="629" ht="12.75">
      <c r="L629" s="19"/>
    </row>
    <row r="630" ht="12.75">
      <c r="L630" s="19"/>
    </row>
    <row r="631" ht="12.75">
      <c r="L631" s="19"/>
    </row>
    <row r="632" ht="12.75">
      <c r="L632" s="19"/>
    </row>
    <row r="633" ht="12.75">
      <c r="L633" s="19"/>
    </row>
    <row r="634" ht="12.75">
      <c r="L634" s="19"/>
    </row>
    <row r="635" ht="12.75">
      <c r="L635" s="19"/>
    </row>
    <row r="636" ht="12.75">
      <c r="L636" s="19"/>
    </row>
    <row r="637" ht="12.75">
      <c r="L637" s="19"/>
    </row>
    <row r="638" ht="12.75">
      <c r="L638" s="19"/>
    </row>
    <row r="639" ht="12.75">
      <c r="L639" s="19"/>
    </row>
    <row r="640" ht="12.75">
      <c r="L640" s="19"/>
    </row>
    <row r="641" ht="12.75">
      <c r="L641" s="19"/>
    </row>
    <row r="642" ht="12.75">
      <c r="L642" s="19"/>
    </row>
    <row r="643" ht="12.75">
      <c r="L643" s="19"/>
    </row>
    <row r="644" ht="12.75">
      <c r="L644" s="19"/>
    </row>
    <row r="645" ht="12.75">
      <c r="L645" s="19"/>
    </row>
    <row r="646" ht="12.75">
      <c r="L646" s="19"/>
    </row>
    <row r="647" ht="12.75">
      <c r="L647" s="19"/>
    </row>
    <row r="648" ht="12.75">
      <c r="L648" s="19"/>
    </row>
    <row r="649" ht="12.75">
      <c r="L649" s="19"/>
    </row>
    <row r="650" ht="12.75">
      <c r="L650" s="19"/>
    </row>
    <row r="651" ht="12.75">
      <c r="L651" s="19"/>
    </row>
    <row r="652" ht="12.75">
      <c r="L652" s="19"/>
    </row>
    <row r="653" ht="12.75">
      <c r="L653" s="19"/>
    </row>
    <row r="654" ht="12.75">
      <c r="L654" s="19"/>
    </row>
    <row r="655" ht="12.75">
      <c r="L655" s="19"/>
    </row>
    <row r="656" ht="12.75">
      <c r="L656" s="19"/>
    </row>
    <row r="657" ht="12.75">
      <c r="L657" s="19"/>
    </row>
    <row r="658" ht="12.75">
      <c r="L658" s="19"/>
    </row>
    <row r="659" ht="12.75">
      <c r="L659" s="19"/>
    </row>
    <row r="660" ht="12.75">
      <c r="L660" s="19"/>
    </row>
    <row r="661" ht="12.75">
      <c r="L661" s="19"/>
    </row>
    <row r="662" ht="12.75">
      <c r="L662" s="19"/>
    </row>
    <row r="663" ht="12.75">
      <c r="L663" s="19"/>
    </row>
    <row r="664" ht="12.75">
      <c r="L664" s="19"/>
    </row>
    <row r="665" ht="12.75">
      <c r="L665" s="19"/>
    </row>
    <row r="666" ht="12.75">
      <c r="L666" s="19"/>
    </row>
    <row r="667" ht="12.75">
      <c r="L667" s="19"/>
    </row>
    <row r="668" ht="12.75">
      <c r="L668" s="19"/>
    </row>
    <row r="669" ht="12.75">
      <c r="L669" s="19"/>
    </row>
    <row r="670" ht="12.75">
      <c r="L670" s="19"/>
    </row>
    <row r="671" ht="12.75">
      <c r="L671" s="19"/>
    </row>
    <row r="672" ht="12.75">
      <c r="L672" s="19"/>
    </row>
    <row r="673" ht="12.75">
      <c r="L673" s="19"/>
    </row>
    <row r="674" ht="12.75">
      <c r="L674" s="19"/>
    </row>
    <row r="675" ht="12.75">
      <c r="L675" s="19"/>
    </row>
    <row r="676" ht="12.75">
      <c r="L676" s="19"/>
    </row>
    <row r="677" ht="12.75">
      <c r="L677" s="19"/>
    </row>
    <row r="678" ht="12.75">
      <c r="L678" s="19"/>
    </row>
    <row r="679" ht="12.75">
      <c r="L679" s="19"/>
    </row>
    <row r="680" ht="12.75">
      <c r="L680" s="19"/>
    </row>
    <row r="681" ht="12.75">
      <c r="L681" s="19"/>
    </row>
    <row r="682" ht="12.75">
      <c r="L682" s="19"/>
    </row>
    <row r="683" ht="12.75">
      <c r="L683" s="19"/>
    </row>
    <row r="684" ht="12.75">
      <c r="L684" s="19"/>
    </row>
    <row r="685" ht="12.75">
      <c r="L685" s="19"/>
    </row>
    <row r="686" ht="12.75">
      <c r="L686" s="19"/>
    </row>
    <row r="687" ht="12.75">
      <c r="L687" s="19"/>
    </row>
    <row r="688" ht="12.75">
      <c r="L688" s="19"/>
    </row>
    <row r="689" ht="12.75">
      <c r="L689" s="19"/>
    </row>
    <row r="690" ht="12.75">
      <c r="L690" s="19"/>
    </row>
    <row r="691" ht="12.75">
      <c r="L691" s="19"/>
    </row>
    <row r="692" ht="12.75">
      <c r="L692" s="19"/>
    </row>
    <row r="693" ht="12.75">
      <c r="L693" s="19"/>
    </row>
    <row r="694" ht="12.75">
      <c r="L694" s="19"/>
    </row>
    <row r="695" ht="12.75">
      <c r="L695" s="19"/>
    </row>
    <row r="696" ht="12.75">
      <c r="L696" s="19"/>
    </row>
    <row r="697" ht="12.75">
      <c r="L697" s="19"/>
    </row>
    <row r="698" ht="12.75">
      <c r="L698" s="19"/>
    </row>
    <row r="699" ht="12.75">
      <c r="L699" s="19"/>
    </row>
    <row r="700" ht="12.75">
      <c r="L700" s="19"/>
    </row>
    <row r="701" ht="12.75">
      <c r="L701" s="19"/>
    </row>
    <row r="702" ht="12.75">
      <c r="L702" s="19"/>
    </row>
    <row r="703" ht="12.75">
      <c r="L703" s="19"/>
    </row>
    <row r="704" ht="12.75">
      <c r="L704" s="19"/>
    </row>
    <row r="705" ht="12.75">
      <c r="L705" s="19"/>
    </row>
    <row r="706" ht="12.75">
      <c r="L706" s="19"/>
    </row>
    <row r="707" ht="12.75">
      <c r="L707" s="19"/>
    </row>
    <row r="708" ht="12.75">
      <c r="L708" s="19"/>
    </row>
    <row r="709" ht="12.75">
      <c r="L709" s="19"/>
    </row>
    <row r="710" ht="12.75">
      <c r="L710" s="19"/>
    </row>
    <row r="711" ht="12.75">
      <c r="L711" s="19"/>
    </row>
    <row r="712" ht="12.75">
      <c r="L712" s="19"/>
    </row>
    <row r="713" ht="12.75">
      <c r="L713" s="19"/>
    </row>
    <row r="714" ht="12.75">
      <c r="L714" s="19"/>
    </row>
    <row r="715" ht="12.75">
      <c r="L715" s="19"/>
    </row>
    <row r="716" ht="12.75">
      <c r="L716" s="19"/>
    </row>
    <row r="717" ht="12.75">
      <c r="L717" s="19"/>
    </row>
    <row r="718" ht="12.75">
      <c r="L718" s="19"/>
    </row>
    <row r="719" ht="12.75">
      <c r="L719" s="19"/>
    </row>
    <row r="720" ht="12.75">
      <c r="L720" s="19"/>
    </row>
    <row r="721" ht="12.75">
      <c r="L721" s="19"/>
    </row>
    <row r="722" ht="12.75">
      <c r="L722" s="19"/>
    </row>
    <row r="723" ht="12.75">
      <c r="L723" s="19"/>
    </row>
    <row r="724" ht="12.75">
      <c r="L724" s="19"/>
    </row>
    <row r="725" ht="12.75">
      <c r="L725" s="19"/>
    </row>
    <row r="726" ht="12.75">
      <c r="L726" s="19"/>
    </row>
    <row r="727" ht="12.75">
      <c r="L727" s="19"/>
    </row>
    <row r="728" ht="12.75">
      <c r="L728" s="19"/>
    </row>
    <row r="729" ht="12.75">
      <c r="L729" s="19"/>
    </row>
    <row r="730" ht="12.75">
      <c r="L730" s="19"/>
    </row>
    <row r="731" ht="12.75">
      <c r="L731" s="19"/>
    </row>
    <row r="732" ht="12.75">
      <c r="L732" s="19"/>
    </row>
    <row r="733" ht="12.75">
      <c r="L733" s="19"/>
    </row>
    <row r="734" ht="12.75">
      <c r="L734" s="19"/>
    </row>
    <row r="735" ht="12.75">
      <c r="L735" s="19"/>
    </row>
    <row r="736" ht="12.75">
      <c r="L736" s="19"/>
    </row>
    <row r="737" ht="12.75">
      <c r="L737" s="19"/>
    </row>
    <row r="738" ht="12.75">
      <c r="L738" s="19"/>
    </row>
    <row r="739" ht="12.75">
      <c r="L739" s="19"/>
    </row>
    <row r="740" ht="12.75">
      <c r="L740" s="19"/>
    </row>
    <row r="741" ht="12.75">
      <c r="L741" s="19"/>
    </row>
    <row r="742" ht="12.75">
      <c r="L742" s="19"/>
    </row>
    <row r="743" ht="12.75">
      <c r="L743" s="19"/>
    </row>
    <row r="744" ht="12.75">
      <c r="L744" s="19"/>
    </row>
    <row r="745" ht="12.75">
      <c r="L745" s="19"/>
    </row>
    <row r="746" ht="12.75">
      <c r="L746" s="19"/>
    </row>
    <row r="747" ht="12.75">
      <c r="L747" s="19"/>
    </row>
    <row r="748" ht="12.75">
      <c r="L748" s="19"/>
    </row>
    <row r="749" ht="12.75">
      <c r="L749" s="19"/>
    </row>
    <row r="750" ht="12.75">
      <c r="L750" s="19"/>
    </row>
    <row r="751" ht="12.75">
      <c r="L751" s="19"/>
    </row>
    <row r="752" ht="12.75">
      <c r="L752" s="19"/>
    </row>
    <row r="753" ht="12.75">
      <c r="L753" s="19"/>
    </row>
    <row r="754" ht="12.75">
      <c r="L754" s="19"/>
    </row>
    <row r="755" ht="12.75">
      <c r="L755" s="19"/>
    </row>
    <row r="756" ht="12.75">
      <c r="L756" s="19"/>
    </row>
    <row r="757" ht="12.75">
      <c r="L757" s="19"/>
    </row>
    <row r="758" ht="12.75">
      <c r="L758" s="19"/>
    </row>
    <row r="759" ht="12.75">
      <c r="L759" s="19"/>
    </row>
    <row r="760" ht="12.75">
      <c r="L760" s="19"/>
    </row>
    <row r="761" ht="12.75">
      <c r="L761" s="19"/>
    </row>
    <row r="762" ht="12.75">
      <c r="L762" s="19"/>
    </row>
    <row r="763" ht="12.75">
      <c r="L763" s="19"/>
    </row>
    <row r="764" ht="12.75">
      <c r="L764" s="19"/>
    </row>
    <row r="765" ht="12.75">
      <c r="L765" s="19"/>
    </row>
    <row r="766" ht="12.75">
      <c r="L766" s="19"/>
    </row>
    <row r="767" ht="12.75">
      <c r="L767" s="19"/>
    </row>
    <row r="768" ht="12.75">
      <c r="L768" s="19"/>
    </row>
    <row r="769" ht="12.75">
      <c r="L769" s="19"/>
    </row>
    <row r="770" ht="12.75">
      <c r="L770" s="19"/>
    </row>
    <row r="771" ht="12.75">
      <c r="L771" s="19"/>
    </row>
    <row r="772" ht="12.75">
      <c r="L772" s="19"/>
    </row>
    <row r="773" ht="12.75">
      <c r="L773" s="19"/>
    </row>
    <row r="774" ht="12.75">
      <c r="L774" s="19"/>
    </row>
    <row r="775" ht="12.75">
      <c r="L775" s="19"/>
    </row>
    <row r="776" ht="12.75">
      <c r="L776" s="19"/>
    </row>
    <row r="777" ht="12.75">
      <c r="L777" s="19"/>
    </row>
    <row r="778" ht="12.75">
      <c r="L778" s="19"/>
    </row>
    <row r="779" ht="12.75">
      <c r="L779" s="19"/>
    </row>
    <row r="780" ht="12.75">
      <c r="L780" s="19"/>
    </row>
    <row r="781" ht="12.75">
      <c r="L781" s="19"/>
    </row>
    <row r="782" ht="12.75">
      <c r="L782" s="19"/>
    </row>
    <row r="783" ht="12.75">
      <c r="L783" s="19"/>
    </row>
    <row r="784" ht="12.75">
      <c r="L784" s="19"/>
    </row>
    <row r="785" ht="12.75">
      <c r="L785" s="19"/>
    </row>
    <row r="786" ht="12.75">
      <c r="L786" s="19"/>
    </row>
    <row r="787" ht="12.75">
      <c r="L787" s="19"/>
    </row>
    <row r="788" ht="12.75">
      <c r="L788" s="19"/>
    </row>
    <row r="789" ht="12.75">
      <c r="L789" s="19"/>
    </row>
    <row r="790" ht="12.75">
      <c r="L790" s="19"/>
    </row>
    <row r="791" ht="12.75">
      <c r="L791" s="19"/>
    </row>
    <row r="792" ht="12.75">
      <c r="L792" s="19"/>
    </row>
    <row r="793" ht="12.75">
      <c r="L793" s="19"/>
    </row>
    <row r="794" ht="12.75">
      <c r="L794" s="19"/>
    </row>
    <row r="795" ht="12.75">
      <c r="L795" s="19"/>
    </row>
    <row r="796" ht="12.75">
      <c r="L796" s="19"/>
    </row>
    <row r="797" ht="12.75">
      <c r="L797" s="19"/>
    </row>
    <row r="798" ht="12.75">
      <c r="L798" s="19"/>
    </row>
    <row r="799" ht="12.75">
      <c r="L799" s="19"/>
    </row>
    <row r="800" ht="12.75">
      <c r="L800" s="19"/>
    </row>
    <row r="801" ht="12.75">
      <c r="L801" s="19"/>
    </row>
    <row r="802" ht="12.75">
      <c r="L802" s="19"/>
    </row>
    <row r="803" ht="12.75">
      <c r="L803" s="19"/>
    </row>
    <row r="804" ht="12.75">
      <c r="L804" s="19"/>
    </row>
    <row r="805" ht="12.75">
      <c r="L805" s="19"/>
    </row>
    <row r="806" ht="12.75">
      <c r="L806" s="19"/>
    </row>
    <row r="807" ht="12.75">
      <c r="L807" s="19"/>
    </row>
    <row r="808" ht="12.75">
      <c r="L808" s="19"/>
    </row>
    <row r="809" ht="12.75">
      <c r="L809" s="19"/>
    </row>
    <row r="810" ht="12.75">
      <c r="L810" s="19"/>
    </row>
    <row r="811" ht="12.75">
      <c r="L811" s="19"/>
    </row>
    <row r="812" ht="12.75">
      <c r="L812" s="19"/>
    </row>
    <row r="813" ht="12.75">
      <c r="L813" s="19"/>
    </row>
    <row r="814" ht="12.75">
      <c r="L814" s="19"/>
    </row>
    <row r="815" ht="12.75">
      <c r="L815" s="19"/>
    </row>
    <row r="816" ht="12.75">
      <c r="L816" s="19"/>
    </row>
    <row r="817" ht="12.75">
      <c r="L817" s="19"/>
    </row>
    <row r="818" ht="12.75">
      <c r="L818" s="19"/>
    </row>
    <row r="819" ht="12.75">
      <c r="L819" s="19"/>
    </row>
    <row r="820" ht="12.75">
      <c r="L820" s="19"/>
    </row>
    <row r="821" ht="12.75">
      <c r="L821" s="19"/>
    </row>
    <row r="822" ht="12.75">
      <c r="L822" s="19"/>
    </row>
    <row r="823" ht="12.75">
      <c r="L823" s="19"/>
    </row>
    <row r="824" ht="12.75">
      <c r="L824" s="19"/>
    </row>
    <row r="825" ht="12.75">
      <c r="L825" s="19"/>
    </row>
    <row r="826" ht="12.75">
      <c r="L826" s="19"/>
    </row>
    <row r="827" ht="12.75">
      <c r="L827" s="19"/>
    </row>
    <row r="828" ht="12.75">
      <c r="L828" s="19"/>
    </row>
    <row r="829" ht="12.75">
      <c r="L829" s="19"/>
    </row>
    <row r="830" ht="12.75">
      <c r="L830" s="19"/>
    </row>
    <row r="831" ht="12.75">
      <c r="L831" s="19"/>
    </row>
    <row r="832" ht="12.75">
      <c r="L832" s="19"/>
    </row>
    <row r="833" ht="12.75">
      <c r="L833" s="19"/>
    </row>
    <row r="834" ht="12.75">
      <c r="L834" s="19"/>
    </row>
    <row r="835" ht="12.75">
      <c r="L835" s="19"/>
    </row>
    <row r="836" ht="12.75">
      <c r="L836" s="19"/>
    </row>
    <row r="837" ht="12.75">
      <c r="L837" s="19"/>
    </row>
    <row r="838" ht="12.75">
      <c r="L838" s="19"/>
    </row>
    <row r="839" ht="12.75">
      <c r="L839" s="19"/>
    </row>
    <row r="840" ht="12.75">
      <c r="L840" s="19"/>
    </row>
    <row r="841" ht="12.75">
      <c r="L841" s="19"/>
    </row>
  </sheetData>
  <sheetProtection sheet="1" insertRows="0"/>
  <mergeCells count="1">
    <mergeCell ref="F2:H2"/>
  </mergeCells>
  <conditionalFormatting sqref="J359:J499 K358">
    <cfRule type="cellIs" priority="13" dxfId="15" operator="greaterThan" stopIfTrue="1">
      <formula>K358*1.2</formula>
    </cfRule>
  </conditionalFormatting>
  <conditionalFormatting sqref="L28:L357">
    <cfRule type="cellIs" priority="15" dxfId="0" operator="greaterThan" stopIfTrue="1">
      <formula>N28*1.2</formula>
    </cfRule>
  </conditionalFormatting>
  <conditionalFormatting sqref="G19:G21">
    <cfRule type="cellIs" priority="8" dxfId="13" operator="lessThan" stopIfTrue="1">
      <formula>0.8</formula>
    </cfRule>
  </conditionalFormatting>
  <dataValidations count="6">
    <dataValidation type="list" allowBlank="1" showInputMessage="1" showErrorMessage="1" sqref="O2:O24 H28:H357">
      <formula1>$U$18:$U$19</formula1>
    </dataValidation>
    <dataValidation type="list" allowBlank="1" showInputMessage="1" showErrorMessage="1" sqref="N2:N24">
      <formula1>$V$2:$V$4</formula1>
    </dataValidation>
    <dataValidation type="list" allowBlank="1" showInputMessage="1" showErrorMessage="1" sqref="C15">
      <formula1>$W$20:$W$24</formula1>
    </dataValidation>
    <dataValidation type="list" allowBlank="1" showInputMessage="1" showErrorMessage="1" sqref="D28:D357">
      <formula1>$U$2:$U$17</formula1>
    </dataValidation>
    <dataValidation type="list" showInputMessage="1" showErrorMessage="1" sqref="L2:L24">
      <formula1>$AF$2:$AF$17</formula1>
    </dataValidation>
    <dataValidation type="list" allowBlank="1" showInputMessage="1" showErrorMessage="1" sqref="C16">
      <formula1>$X$20:$X$21</formula1>
    </dataValidation>
  </dataValidations>
  <printOptions gridLines="1"/>
  <pageMargins left="0.25" right="0.25" top="0.58" bottom="1" header="0.5" footer="0.5"/>
  <pageSetup horizontalDpi="600" verticalDpi="600" orientation="landscape" r:id="rId3"/>
  <ignoredErrors>
    <ignoredError sqref="E20:F20 G19:G20" unlockedFormula="1"/>
  </ignoredErrors>
  <legacyDrawing r:id="rId2"/>
</worksheet>
</file>

<file path=xl/worksheets/sheet15.xml><?xml version="1.0" encoding="utf-8"?>
<worksheet xmlns="http://schemas.openxmlformats.org/spreadsheetml/2006/main" xmlns:r="http://schemas.openxmlformats.org/officeDocument/2006/relationships">
  <sheetPr>
    <tabColor indexed="60"/>
  </sheetPr>
  <dimension ref="A1:S42"/>
  <sheetViews>
    <sheetView zoomScalePageLayoutView="0" workbookViewId="0" topLeftCell="A1">
      <selection activeCell="C30" sqref="C30:E30"/>
    </sheetView>
  </sheetViews>
  <sheetFormatPr defaultColWidth="9.140625" defaultRowHeight="12.75"/>
  <cols>
    <col min="1" max="1" width="2.57421875" style="14" customWidth="1"/>
    <col min="2" max="2" width="30.28125" style="14" customWidth="1"/>
    <col min="3" max="7" width="9.140625" style="14" customWidth="1"/>
    <col min="8" max="8" width="10.8515625" style="14" customWidth="1"/>
    <col min="9" max="9" width="10.57421875" style="14" customWidth="1"/>
    <col min="10" max="10" width="56.00390625" style="14" customWidth="1"/>
    <col min="11" max="11" width="27.00390625" style="14" customWidth="1"/>
    <col min="12" max="12" width="35.7109375" style="14" hidden="1" customWidth="1"/>
    <col min="13" max="14" width="9.140625" style="14" customWidth="1"/>
    <col min="15" max="15" width="32.8515625" style="14" customWidth="1"/>
    <col min="16" max="16" width="9.140625" style="14" customWidth="1"/>
    <col min="17" max="17" width="5.28125" style="14" customWidth="1"/>
    <col min="18" max="18" width="5.7109375" style="14" customWidth="1"/>
    <col min="19" max="16384" width="9.140625" style="14" customWidth="1"/>
  </cols>
  <sheetData>
    <row r="1" ht="18" customHeight="1">
      <c r="B1" s="15" t="s">
        <v>212</v>
      </c>
    </row>
    <row r="2" spans="1:9" ht="12.75">
      <c r="A2" s="14">
        <v>1</v>
      </c>
      <c r="B2" s="640" t="s">
        <v>918</v>
      </c>
      <c r="C2" s="402"/>
      <c r="D2" s="402"/>
      <c r="E2" s="402"/>
      <c r="F2" s="402"/>
      <c r="G2" s="402"/>
      <c r="H2" s="402"/>
      <c r="I2" s="402"/>
    </row>
    <row r="3" spans="1:16" ht="12.75">
      <c r="A3" s="14">
        <v>2</v>
      </c>
      <c r="B3" s="375" t="s">
        <v>63</v>
      </c>
      <c r="C3" s="375"/>
      <c r="D3" s="375"/>
      <c r="E3" s="375"/>
      <c r="F3" s="375"/>
      <c r="G3" s="375"/>
      <c r="H3" s="375"/>
      <c r="I3" s="375"/>
      <c r="J3" s="402"/>
      <c r="K3" s="402"/>
      <c r="L3" s="402"/>
      <c r="M3" s="402"/>
      <c r="N3" s="402"/>
      <c r="O3" s="402"/>
      <c r="P3" s="402"/>
    </row>
    <row r="4" spans="1:14" ht="12.75">
      <c r="A4" s="14">
        <v>3</v>
      </c>
      <c r="B4" s="376" t="s">
        <v>584</v>
      </c>
      <c r="C4" s="377"/>
      <c r="D4" s="377"/>
      <c r="E4" s="377"/>
      <c r="F4" s="377"/>
      <c r="G4" s="377"/>
      <c r="H4" s="377"/>
      <c r="I4" s="377"/>
      <c r="J4" s="402"/>
      <c r="K4" s="402"/>
      <c r="M4" s="402"/>
      <c r="N4" s="402"/>
    </row>
    <row r="5" spans="1:16" ht="12.75">
      <c r="A5" s="14">
        <v>4</v>
      </c>
      <c r="B5" s="551" t="s">
        <v>984</v>
      </c>
      <c r="C5" s="402"/>
      <c r="D5" s="402"/>
      <c r="E5" s="402"/>
      <c r="F5" s="402"/>
      <c r="G5" s="402"/>
      <c r="H5" s="402"/>
      <c r="I5" s="402"/>
      <c r="J5" s="402"/>
      <c r="K5" s="402"/>
      <c r="M5" s="402"/>
      <c r="N5" s="402"/>
      <c r="P5" s="402"/>
    </row>
    <row r="6" spans="1:2" ht="12.75">
      <c r="A6" s="14">
        <v>5</v>
      </c>
      <c r="B6" s="16" t="s">
        <v>637</v>
      </c>
    </row>
    <row r="7" spans="1:12" ht="12.75">
      <c r="A7" s="14">
        <v>6</v>
      </c>
      <c r="B7" s="551" t="s">
        <v>986</v>
      </c>
      <c r="L7" s="606" t="s">
        <v>875</v>
      </c>
    </row>
    <row r="8" spans="2:12" ht="13.5" thickBot="1">
      <c r="B8" s="16"/>
      <c r="L8" s="606" t="s">
        <v>876</v>
      </c>
    </row>
    <row r="9" spans="2:12" ht="13.5" thickBot="1">
      <c r="B9" s="15" t="s">
        <v>905</v>
      </c>
      <c r="C9" s="1346"/>
      <c r="D9" s="1347"/>
      <c r="E9" s="1347"/>
      <c r="F9" s="1348"/>
      <c r="L9" s="606" t="s">
        <v>878</v>
      </c>
    </row>
    <row r="10" ht="12.75">
      <c r="L10" s="606" t="s">
        <v>877</v>
      </c>
    </row>
    <row r="11" spans="2:9" ht="63.75">
      <c r="B11" s="15" t="s">
        <v>874</v>
      </c>
      <c r="C11" s="604" t="s">
        <v>875</v>
      </c>
      <c r="D11" s="604" t="s">
        <v>876</v>
      </c>
      <c r="E11" s="604" t="s">
        <v>878</v>
      </c>
      <c r="F11" s="604" t="s">
        <v>877</v>
      </c>
      <c r="G11" s="15"/>
      <c r="H11" s="15"/>
      <c r="I11" s="15"/>
    </row>
    <row r="12" spans="2:10" ht="63.75">
      <c r="B12" s="1352" t="s">
        <v>64</v>
      </c>
      <c r="C12" s="1349" t="s">
        <v>65</v>
      </c>
      <c r="D12" s="1350"/>
      <c r="E12" s="1350"/>
      <c r="F12" s="1351"/>
      <c r="G12" s="485" t="s">
        <v>66</v>
      </c>
      <c r="H12" s="485" t="s">
        <v>582</v>
      </c>
      <c r="I12" s="485" t="s">
        <v>583</v>
      </c>
      <c r="J12" s="485" t="s">
        <v>795</v>
      </c>
    </row>
    <row r="13" spans="2:9" ht="13.5" thickBot="1">
      <c r="B13" s="1353"/>
      <c r="C13" s="1349" t="s">
        <v>67</v>
      </c>
      <c r="D13" s="1350"/>
      <c r="E13" s="1350"/>
      <c r="F13" s="1351"/>
      <c r="G13" s="486" t="s">
        <v>182</v>
      </c>
      <c r="H13" s="485" t="s">
        <v>183</v>
      </c>
      <c r="I13" s="486" t="s">
        <v>183</v>
      </c>
    </row>
    <row r="14" spans="2:10" ht="13.5" thickBot="1">
      <c r="B14" s="639" t="s">
        <v>903</v>
      </c>
      <c r="C14" s="487">
        <v>0.15</v>
      </c>
      <c r="D14" s="601">
        <v>0.06</v>
      </c>
      <c r="E14" s="602">
        <v>0.1</v>
      </c>
      <c r="F14" s="603">
        <v>0.13</v>
      </c>
      <c r="G14" s="772"/>
      <c r="H14" s="494" t="e">
        <f aca="true" t="shared" si="0" ref="H14:H19">G14*(LOOKUP($C$9,$C$11:$F$11,C14:F14))</f>
        <v>#N/A</v>
      </c>
      <c r="I14" s="773"/>
      <c r="J14" s="773"/>
    </row>
    <row r="15" spans="2:10" ht="39" thickBot="1">
      <c r="B15" s="637" t="s">
        <v>900</v>
      </c>
      <c r="C15" s="487">
        <v>0.2</v>
      </c>
      <c r="D15" s="601">
        <v>0.14</v>
      </c>
      <c r="E15" s="602">
        <v>0.16</v>
      </c>
      <c r="F15" s="603">
        <v>0.2</v>
      </c>
      <c r="G15" s="772"/>
      <c r="H15" s="494" t="e">
        <f t="shared" si="0"/>
        <v>#N/A</v>
      </c>
      <c r="I15" s="773"/>
      <c r="J15" s="773"/>
    </row>
    <row r="16" spans="2:10" ht="13.5" thickBot="1">
      <c r="B16" s="639" t="s">
        <v>904</v>
      </c>
      <c r="C16" s="487">
        <v>1</v>
      </c>
      <c r="D16" s="601">
        <v>1</v>
      </c>
      <c r="E16" s="602">
        <v>1</v>
      </c>
      <c r="F16" s="603">
        <v>1</v>
      </c>
      <c r="G16" s="772"/>
      <c r="H16" s="494" t="e">
        <f t="shared" si="0"/>
        <v>#N/A</v>
      </c>
      <c r="I16" s="773"/>
      <c r="J16" s="773"/>
    </row>
    <row r="17" spans="2:10" ht="13.5" thickBot="1">
      <c r="B17" s="639" t="s">
        <v>902</v>
      </c>
      <c r="C17" s="487">
        <v>1.25</v>
      </c>
      <c r="D17" s="601">
        <v>0.25</v>
      </c>
      <c r="E17" s="602">
        <v>0.4</v>
      </c>
      <c r="F17" s="603">
        <v>0.4</v>
      </c>
      <c r="G17" s="772"/>
      <c r="H17" s="494" t="e">
        <f t="shared" si="0"/>
        <v>#N/A</v>
      </c>
      <c r="I17" s="773"/>
      <c r="J17" s="773"/>
    </row>
    <row r="18" spans="2:10" ht="13.5" thickBot="1">
      <c r="B18" s="638" t="s">
        <v>873</v>
      </c>
      <c r="C18" s="603"/>
      <c r="D18" s="605">
        <v>0.05</v>
      </c>
      <c r="E18" s="605">
        <v>0.05</v>
      </c>
      <c r="F18" s="605">
        <v>0.05</v>
      </c>
      <c r="G18" s="772"/>
      <c r="H18" s="494" t="e">
        <f t="shared" si="0"/>
        <v>#N/A</v>
      </c>
      <c r="I18" s="773"/>
      <c r="J18" s="773"/>
    </row>
    <row r="19" spans="2:15" ht="13.5" customHeight="1" thickBot="1">
      <c r="B19" s="639" t="s">
        <v>906</v>
      </c>
      <c r="C19" s="487">
        <v>0.2</v>
      </c>
      <c r="D19" s="601">
        <v>0.1</v>
      </c>
      <c r="E19" s="602">
        <v>0.15</v>
      </c>
      <c r="F19" s="603">
        <v>0.2</v>
      </c>
      <c r="G19" s="772"/>
      <c r="H19" s="494" t="e">
        <f t="shared" si="0"/>
        <v>#N/A</v>
      </c>
      <c r="I19" s="773"/>
      <c r="J19" s="773"/>
      <c r="K19" s="1344" t="e">
        <f>IF(LOOKUP($C$9,$C$33:$F$33,C36:F36)&lt;I19,"Proposed façade lighting cannot exceed Baseline allowance.","")</f>
        <v>#N/A</v>
      </c>
      <c r="L19" s="1345"/>
      <c r="M19" s="1345"/>
      <c r="N19" s="1345"/>
      <c r="O19" s="1345"/>
    </row>
    <row r="20" ht="12.75"/>
    <row r="21" spans="2:15" ht="63.75">
      <c r="B21" s="402"/>
      <c r="C21" s="604" t="s">
        <v>875</v>
      </c>
      <c r="D21" s="604" t="s">
        <v>876</v>
      </c>
      <c r="E21" s="604" t="s">
        <v>878</v>
      </c>
      <c r="F21" s="604" t="s">
        <v>877</v>
      </c>
      <c r="G21" s="464"/>
      <c r="H21" s="464"/>
      <c r="K21" s="1345"/>
      <c r="L21" s="1345"/>
      <c r="M21" s="1345"/>
      <c r="N21" s="1345"/>
      <c r="O21" s="1345"/>
    </row>
    <row r="22" spans="2:10" ht="63.75">
      <c r="B22" s="488" t="s">
        <v>64</v>
      </c>
      <c r="C22" s="1349" t="s">
        <v>879</v>
      </c>
      <c r="D22" s="1350"/>
      <c r="E22" s="1350"/>
      <c r="F22" s="1351"/>
      <c r="G22" s="485" t="s">
        <v>184</v>
      </c>
      <c r="H22" s="485" t="s">
        <v>582</v>
      </c>
      <c r="I22" s="485" t="s">
        <v>583</v>
      </c>
      <c r="J22" s="485" t="s">
        <v>795</v>
      </c>
    </row>
    <row r="23" spans="2:9" ht="26.25" customHeight="1" thickBot="1">
      <c r="B23" s="488"/>
      <c r="C23" s="1354" t="s">
        <v>185</v>
      </c>
      <c r="D23" s="1355"/>
      <c r="E23" s="1355"/>
      <c r="F23" s="1356"/>
      <c r="G23" s="486" t="s">
        <v>186</v>
      </c>
      <c r="H23" s="485" t="s">
        <v>183</v>
      </c>
      <c r="I23" s="486" t="s">
        <v>183</v>
      </c>
    </row>
    <row r="24" spans="2:10" ht="13.5" thickBot="1">
      <c r="B24" s="590" t="s">
        <v>187</v>
      </c>
      <c r="C24" s="487">
        <v>1</v>
      </c>
      <c r="D24" s="601">
        <v>0.7</v>
      </c>
      <c r="E24" s="603">
        <v>0.8</v>
      </c>
      <c r="F24" s="603">
        <v>1</v>
      </c>
      <c r="G24" s="772"/>
      <c r="H24" s="494" t="e">
        <f>G24*(LOOKUP($C$9,$C$21:$F$21,C24:F24))</f>
        <v>#N/A</v>
      </c>
      <c r="I24" s="773"/>
      <c r="J24" s="773"/>
    </row>
    <row r="25" spans="2:10" ht="13.5" thickBot="1">
      <c r="B25" s="590" t="s">
        <v>901</v>
      </c>
      <c r="C25" s="487">
        <v>30</v>
      </c>
      <c r="D25" s="601">
        <v>20</v>
      </c>
      <c r="E25" s="603">
        <v>30</v>
      </c>
      <c r="F25" s="603">
        <v>30</v>
      </c>
      <c r="G25" s="772"/>
      <c r="H25" s="494" t="e">
        <f>G25*(LOOKUP($C$9,$C$21:$F$21,C25:F25))</f>
        <v>#N/A</v>
      </c>
      <c r="I25" s="773"/>
      <c r="J25" s="773"/>
    </row>
    <row r="26" spans="2:10" ht="13.5" thickBot="1">
      <c r="B26" s="590" t="s">
        <v>988</v>
      </c>
      <c r="C26" s="487">
        <v>20</v>
      </c>
      <c r="D26" s="601">
        <v>20</v>
      </c>
      <c r="E26" s="603">
        <v>20</v>
      </c>
      <c r="F26" s="603">
        <v>20</v>
      </c>
      <c r="G26" s="772"/>
      <c r="H26" s="494" t="e">
        <f>G26*(LOOKUP($C$9,$C$21:$F$21,C26:F26))</f>
        <v>#N/A</v>
      </c>
      <c r="I26" s="773"/>
      <c r="J26" s="773"/>
    </row>
    <row r="27" spans="2:10" ht="13.5" thickBot="1">
      <c r="B27" s="590" t="s">
        <v>989</v>
      </c>
      <c r="C27" s="487">
        <v>20</v>
      </c>
      <c r="D27" s="601">
        <v>20</v>
      </c>
      <c r="E27" s="603">
        <v>20</v>
      </c>
      <c r="F27" s="603">
        <v>20</v>
      </c>
      <c r="G27" s="772"/>
      <c r="H27" s="494" t="e">
        <f>G27*(LOOKUP($C$9,$C$21:$F$21,C27:F27))</f>
        <v>#N/A</v>
      </c>
      <c r="I27" s="773"/>
      <c r="J27" s="773"/>
    </row>
    <row r="28" spans="2:11" ht="13.5" thickBot="1">
      <c r="B28" s="590" t="s">
        <v>190</v>
      </c>
      <c r="C28" s="487">
        <v>5</v>
      </c>
      <c r="D28" s="601">
        <v>2.5</v>
      </c>
      <c r="E28" s="603">
        <v>3.75</v>
      </c>
      <c r="F28" s="603">
        <v>5</v>
      </c>
      <c r="G28" s="772"/>
      <c r="H28" s="607" t="e">
        <f>G28*(LOOKUP($C$9,$C$21:$F$21,C28:F28))</f>
        <v>#N/A</v>
      </c>
      <c r="J28" s="670"/>
      <c r="K28" s="16"/>
    </row>
    <row r="29" spans="3:10" ht="13.5" thickBot="1">
      <c r="C29" s="489"/>
      <c r="D29" s="489"/>
      <c r="E29" s="489"/>
      <c r="F29" s="489"/>
      <c r="J29" s="671"/>
    </row>
    <row r="30" spans="2:12" ht="13.5" thickBot="1">
      <c r="B30" s="570" t="s">
        <v>919</v>
      </c>
      <c r="C30" s="1357"/>
      <c r="D30" s="1358"/>
      <c r="E30" s="1359"/>
      <c r="F30" s="489"/>
      <c r="J30" s="671"/>
      <c r="L30" s="606" t="s">
        <v>68</v>
      </c>
    </row>
    <row r="31" spans="3:12" ht="12.75">
      <c r="C31" s="489"/>
      <c r="D31" s="489"/>
      <c r="E31" s="489"/>
      <c r="F31" s="489"/>
      <c r="J31" s="671"/>
      <c r="L31" s="606" t="s">
        <v>69</v>
      </c>
    </row>
    <row r="32" ht="12.75">
      <c r="B32" s="490" t="s">
        <v>880</v>
      </c>
    </row>
    <row r="33" spans="3:6" ht="63.75">
      <c r="C33" s="604" t="s">
        <v>875</v>
      </c>
      <c r="D33" s="604" t="s">
        <v>876</v>
      </c>
      <c r="E33" s="604" t="s">
        <v>878</v>
      </c>
      <c r="F33" s="604" t="s">
        <v>877</v>
      </c>
    </row>
    <row r="34" spans="2:10" ht="12.75">
      <c r="B34" s="490"/>
      <c r="C34" s="1349" t="s">
        <v>206</v>
      </c>
      <c r="D34" s="1350"/>
      <c r="E34" s="1350"/>
      <c r="F34" s="1351"/>
      <c r="G34" s="15" t="s">
        <v>207</v>
      </c>
      <c r="J34" s="551"/>
    </row>
    <row r="35" spans="2:8" ht="12.75">
      <c r="B35" s="492" t="s">
        <v>68</v>
      </c>
      <c r="C35" s="608">
        <f>IF(C9="Table 9.4.5 of ASHRAE 90.1-2007",(1.05*(SUM(H14:H18)+SUM(H24:H27))),0)</f>
        <v>0</v>
      </c>
      <c r="D35" s="608">
        <f>IF(C9="Zone 2: ASHRAE 90.1-2010",IF(C30="Tradable",SUM(H14:H18)+SUM(H24:H27)+600,SUM(H14:H18)+SUM(H24:H27)),0)</f>
        <v>0</v>
      </c>
      <c r="E35" s="608">
        <f>IF(C9="Zone 3: ASHRAE 90.1-2010",IF(C30="Tradable",SUM(H14:H18)+SUM(H24:H27)+750,SUM(H14:H18)+SUM(H24:H27)),0)</f>
        <v>0</v>
      </c>
      <c r="F35" s="608">
        <f>IF(C9="Zone 4: ASHRAE 90.1-2010",IF(C30="Tradable",SUM(H14:H18)+SUM(H24:H27)+1300,SUM(H14:H18)+SUM(H24:H27)),0)</f>
        <v>0</v>
      </c>
      <c r="G35" s="543">
        <f>SUM(I14:I18)+SUM(I24:I27)</f>
        <v>0</v>
      </c>
      <c r="H35" s="16" t="s">
        <v>580</v>
      </c>
    </row>
    <row r="36" spans="2:19" ht="12.75">
      <c r="B36" s="492" t="s">
        <v>69</v>
      </c>
      <c r="C36" s="608">
        <f>IF(C9="Table 9.4.5 of ASHRAE 90.1-2007",(IF(I19&lt;1.05*MAX(H19,H28),G36,1.05*MAX(H19,H28))),0)</f>
        <v>0</v>
      </c>
      <c r="D36" s="608">
        <f>IF(C9="Zone 2: ASHRAE 90.1-2010",IF(C30="Non-Tradable",MAX(H19,H28)+600,MAX(H19,H28)),0)</f>
        <v>0</v>
      </c>
      <c r="E36" s="608">
        <f>IF(C9="Zone 3: ASHRAE 90.1-2010",IF(C30="Non-Tradable",MAX(H19,H28)+750,MAX(H19,H28)),0)</f>
        <v>0</v>
      </c>
      <c r="F36" s="608">
        <f>IF(C9="Zone 4: ASHRAE 90.1-2010",IF(C30="Non-Tradable",MAX(H19,H28)+1300,MAX(H19,H28)),0)</f>
        <v>0</v>
      </c>
      <c r="G36" s="543">
        <f>I19</f>
        <v>0</v>
      </c>
      <c r="H36" s="16" t="s">
        <v>580</v>
      </c>
      <c r="I36" s="556" t="s">
        <v>639</v>
      </c>
      <c r="K36" s="672"/>
      <c r="L36" s="16"/>
      <c r="R36" s="728"/>
      <c r="S36" s="16"/>
    </row>
    <row r="37" spans="3:8" ht="12.75">
      <c r="C37" s="609">
        <f>IF(C9="Table 9.4.5 of ASHRAE 90.1-2007",SUM(C35:C36),0)</f>
        <v>0</v>
      </c>
      <c r="D37" s="609">
        <f>IF(C9="Zone 2: ASHRAE 90.1-2010",SUM(D35:D36),0)</f>
        <v>0</v>
      </c>
      <c r="E37" s="609">
        <f>IF(C9="Zone 3: ASHRAE 90.1-2010",SUM(E35:E36),0)</f>
        <v>0</v>
      </c>
      <c r="F37" s="609">
        <f>IF(C9="Zone 4: ASHRAE 90.1-2010",SUM(F35:F36),0)</f>
        <v>0</v>
      </c>
      <c r="G37" s="609">
        <f>SUM(G35:G36)</f>
        <v>0</v>
      </c>
      <c r="H37" s="16" t="s">
        <v>580</v>
      </c>
    </row>
    <row r="38" ht="12.75">
      <c r="B38" s="493" t="s">
        <v>70</v>
      </c>
    </row>
    <row r="39" ht="12.75">
      <c r="B39" s="551" t="s">
        <v>71</v>
      </c>
    </row>
    <row r="40" ht="12.75">
      <c r="B40" s="551" t="s">
        <v>927</v>
      </c>
    </row>
    <row r="41" ht="12.75">
      <c r="B41" s="551" t="s">
        <v>336</v>
      </c>
    </row>
    <row r="42" ht="12.75">
      <c r="B42" s="551"/>
    </row>
  </sheetData>
  <sheetProtection sheet="1"/>
  <mergeCells count="10">
    <mergeCell ref="K19:O19"/>
    <mergeCell ref="C9:F9"/>
    <mergeCell ref="C34:F34"/>
    <mergeCell ref="B12:B13"/>
    <mergeCell ref="C12:F12"/>
    <mergeCell ref="C22:F22"/>
    <mergeCell ref="C23:F23"/>
    <mergeCell ref="C13:F13"/>
    <mergeCell ref="C30:E30"/>
    <mergeCell ref="K21:O21"/>
  </mergeCells>
  <conditionalFormatting sqref="I19">
    <cfRule type="cellIs" priority="2" dxfId="12" operator="greaterThan" stopIfTrue="1">
      <formula>MAX($H$19,$H$28)</formula>
    </cfRule>
  </conditionalFormatting>
  <dataValidations count="2">
    <dataValidation type="list" allowBlank="1" showInputMessage="1" showErrorMessage="1" sqref="C9">
      <formula1>$L$7:$L$10</formula1>
    </dataValidation>
    <dataValidation type="list" allowBlank="1" showInputMessage="1" showErrorMessage="1" sqref="C30:E30">
      <formula1>$L$30:$L$31</formula1>
    </dataValidation>
  </dataValidations>
  <printOptions/>
  <pageMargins left="0.75" right="0.75" top="1" bottom="1" header="0.5" footer="0.5"/>
  <pageSetup horizontalDpi="300" verticalDpi="300" orientation="portrait" r:id="rId3"/>
  <headerFooter alignWithMargins="0">
    <oddHeader>&amp;REMP Simulation Spreadsheet
October 5, 2005</oddHeader>
    <oddFooter>&amp;CTaitem Engineering
Page &amp;P of &amp;N</oddFooter>
  </headerFooter>
  <legacyDrawing r:id="rId2"/>
</worksheet>
</file>

<file path=xl/worksheets/sheet16.xml><?xml version="1.0" encoding="utf-8"?>
<worksheet xmlns="http://schemas.openxmlformats.org/spreadsheetml/2006/main" xmlns:r="http://schemas.openxmlformats.org/officeDocument/2006/relationships">
  <sheetPr>
    <tabColor indexed="60"/>
  </sheetPr>
  <dimension ref="A1:Q68"/>
  <sheetViews>
    <sheetView zoomScalePageLayoutView="0" workbookViewId="0" topLeftCell="A1">
      <selection activeCell="C14" sqref="C14:D14"/>
    </sheetView>
  </sheetViews>
  <sheetFormatPr defaultColWidth="9.140625" defaultRowHeight="12.75"/>
  <cols>
    <col min="1" max="1" width="2.00390625" style="14" bestFit="1" customWidth="1"/>
    <col min="2" max="2" width="53.140625" style="14" customWidth="1"/>
    <col min="3" max="5" width="18.57421875" style="14" customWidth="1"/>
    <col min="6" max="6" width="18.8515625" style="14" customWidth="1"/>
    <col min="7" max="7" width="18.57421875" style="14" customWidth="1"/>
    <col min="8" max="8" width="18.00390625" style="14" customWidth="1"/>
    <col min="9" max="9" width="17.8515625" style="14" customWidth="1"/>
    <col min="10" max="10" width="19.140625" style="14" customWidth="1"/>
    <col min="11" max="15" width="9.140625" style="14" customWidth="1"/>
    <col min="16" max="17" width="9.140625" style="14" hidden="1" customWidth="1"/>
    <col min="18" max="16384" width="9.140625" style="14" customWidth="1"/>
  </cols>
  <sheetData>
    <row r="1" spans="1:4" ht="12.75">
      <c r="A1" s="15"/>
      <c r="B1" s="15" t="s">
        <v>346</v>
      </c>
      <c r="C1" s="402"/>
      <c r="D1" s="402"/>
    </row>
    <row r="2" spans="1:4" ht="12.75">
      <c r="A2" s="14">
        <v>1</v>
      </c>
      <c r="B2" s="551" t="s">
        <v>979</v>
      </c>
      <c r="C2" s="402"/>
      <c r="D2" s="402"/>
    </row>
    <row r="3" spans="1:4" ht="12.75">
      <c r="A3" s="14">
        <v>2</v>
      </c>
      <c r="B3" s="551" t="s">
        <v>980</v>
      </c>
      <c r="C3" s="402"/>
      <c r="D3" s="402"/>
    </row>
    <row r="4" spans="1:4" ht="12.75">
      <c r="A4" s="14">
        <v>3</v>
      </c>
      <c r="B4" s="375" t="s">
        <v>347</v>
      </c>
      <c r="C4" s="402"/>
      <c r="D4" s="402"/>
    </row>
    <row r="5" spans="1:4" ht="12.75">
      <c r="A5" s="14">
        <v>4</v>
      </c>
      <c r="B5" s="376" t="s">
        <v>510</v>
      </c>
      <c r="C5" s="402"/>
      <c r="D5" s="402"/>
    </row>
    <row r="6" spans="1:4" ht="12.75">
      <c r="A6" s="14">
        <v>5</v>
      </c>
      <c r="B6" s="16" t="s">
        <v>643</v>
      </c>
      <c r="C6" s="402"/>
      <c r="D6" s="402"/>
    </row>
    <row r="7" spans="1:4" ht="12.75">
      <c r="A7" s="495">
        <v>6</v>
      </c>
      <c r="B7" s="16" t="s">
        <v>511</v>
      </c>
      <c r="C7" s="402"/>
      <c r="D7" s="402"/>
    </row>
    <row r="8" spans="1:4" ht="12.75">
      <c r="A8" s="495">
        <v>7</v>
      </c>
      <c r="B8" s="16" t="s">
        <v>512</v>
      </c>
      <c r="C8" s="402"/>
      <c r="D8" s="402"/>
    </row>
    <row r="9" spans="1:2" ht="12.75">
      <c r="A9" s="495">
        <v>8</v>
      </c>
      <c r="B9" s="551" t="s">
        <v>726</v>
      </c>
    </row>
    <row r="10" spans="1:3" ht="12.75">
      <c r="A10" s="495">
        <v>9</v>
      </c>
      <c r="B10" s="547" t="s">
        <v>9</v>
      </c>
      <c r="C10" s="547"/>
    </row>
    <row r="11" spans="1:17" ht="13.5" thickBot="1">
      <c r="A11" s="495"/>
      <c r="B11" s="416"/>
      <c r="C11" s="496" t="s">
        <v>206</v>
      </c>
      <c r="D11" s="496" t="s">
        <v>207</v>
      </c>
      <c r="E11" s="496" t="s">
        <v>206</v>
      </c>
      <c r="F11" s="496" t="s">
        <v>207</v>
      </c>
      <c r="G11" s="496" t="s">
        <v>206</v>
      </c>
      <c r="H11" s="496" t="s">
        <v>207</v>
      </c>
      <c r="I11" s="496" t="s">
        <v>206</v>
      </c>
      <c r="J11" s="496" t="s">
        <v>207</v>
      </c>
      <c r="P11" s="16" t="s">
        <v>599</v>
      </c>
      <c r="Q11" s="14">
        <v>1.2</v>
      </c>
    </row>
    <row r="12" spans="1:17" ht="15.75" thickBot="1">
      <c r="A12" s="497"/>
      <c r="B12" s="659" t="s">
        <v>349</v>
      </c>
      <c r="C12" s="1366" t="s">
        <v>287</v>
      </c>
      <c r="D12" s="1367"/>
      <c r="E12" s="1364" t="s">
        <v>226</v>
      </c>
      <c r="F12" s="1365"/>
      <c r="G12" s="1364" t="s">
        <v>227</v>
      </c>
      <c r="H12" s="1365"/>
      <c r="I12" s="1370"/>
      <c r="J12" s="1361"/>
      <c r="P12" s="16" t="s">
        <v>600</v>
      </c>
      <c r="Q12" s="14">
        <v>2.3</v>
      </c>
    </row>
    <row r="13" spans="2:17" ht="13.5" thickBot="1">
      <c r="B13" s="659" t="s">
        <v>145</v>
      </c>
      <c r="C13" s="1368">
        <f>'Basic Info'!C15</f>
        <v>0</v>
      </c>
      <c r="D13" s="1369"/>
      <c r="E13" s="1360"/>
      <c r="F13" s="1361"/>
      <c r="G13" s="1360"/>
      <c r="H13" s="1361"/>
      <c r="I13" s="1360"/>
      <c r="J13" s="1361"/>
      <c r="P13" s="551" t="s">
        <v>753</v>
      </c>
      <c r="Q13" s="14">
        <v>2.3</v>
      </c>
    </row>
    <row r="14" spans="1:17" ht="13.5" thickBot="1">
      <c r="A14" s="498"/>
      <c r="B14" s="659" t="s">
        <v>354</v>
      </c>
      <c r="C14" s="1360"/>
      <c r="D14" s="1361"/>
      <c r="E14" s="1360"/>
      <c r="F14" s="1361"/>
      <c r="G14" s="1360"/>
      <c r="H14" s="1361"/>
      <c r="I14" s="1360"/>
      <c r="J14" s="1361"/>
      <c r="P14" s="551" t="s">
        <v>1025</v>
      </c>
      <c r="Q14" s="16" t="s">
        <v>73</v>
      </c>
    </row>
    <row r="15" spans="2:10" ht="13.5" thickBot="1">
      <c r="B15" s="659" t="s">
        <v>355</v>
      </c>
      <c r="C15" s="1362">
        <f>C13*C14</f>
        <v>0</v>
      </c>
      <c r="D15" s="1363"/>
      <c r="E15" s="1362">
        <f>E13*E14</f>
        <v>0</v>
      </c>
      <c r="F15" s="1363"/>
      <c r="G15" s="1362">
        <f>G13*G14</f>
        <v>0</v>
      </c>
      <c r="H15" s="1363"/>
      <c r="I15" s="1362">
        <f>I13*I14</f>
        <v>0</v>
      </c>
      <c r="J15" s="1363"/>
    </row>
    <row r="16" spans="2:16" ht="13.5" thickBot="1">
      <c r="B16" s="660" t="s">
        <v>11</v>
      </c>
      <c r="C16" s="848"/>
      <c r="D16" s="824"/>
      <c r="E16" s="849"/>
      <c r="F16" s="824"/>
      <c r="G16" s="849"/>
      <c r="H16" s="824"/>
      <c r="I16" s="849"/>
      <c r="J16" s="824"/>
      <c r="P16" s="14" t="s">
        <v>728</v>
      </c>
    </row>
    <row r="17" spans="2:16" ht="13.5" thickBot="1">
      <c r="B17" s="660" t="s">
        <v>928</v>
      </c>
      <c r="C17" s="848"/>
      <c r="D17" s="824"/>
      <c r="E17" s="849"/>
      <c r="F17" s="824"/>
      <c r="G17" s="849"/>
      <c r="H17" s="824"/>
      <c r="I17" s="849"/>
      <c r="J17" s="824"/>
      <c r="P17" s="14" t="s">
        <v>729</v>
      </c>
    </row>
    <row r="18" spans="2:10" ht="13.5" thickBot="1">
      <c r="B18" s="659" t="s">
        <v>356</v>
      </c>
      <c r="C18" s="658">
        <v>24</v>
      </c>
      <c r="D18" s="432">
        <v>24</v>
      </c>
      <c r="E18" s="849"/>
      <c r="F18" s="824"/>
      <c r="G18" s="849"/>
      <c r="H18" s="824"/>
      <c r="I18" s="849"/>
      <c r="J18" s="824"/>
    </row>
    <row r="19" spans="2:10" ht="13.5" thickBot="1">
      <c r="B19" s="660" t="s">
        <v>976</v>
      </c>
      <c r="C19" s="849"/>
      <c r="D19" s="849"/>
      <c r="E19" s="849"/>
      <c r="F19" s="849"/>
      <c r="G19" s="849"/>
      <c r="H19" s="824"/>
      <c r="I19" s="849"/>
      <c r="J19" s="824"/>
    </row>
    <row r="20" spans="2:10" ht="13.5" thickBot="1">
      <c r="B20" s="659" t="s">
        <v>357</v>
      </c>
      <c r="C20" s="653" t="e">
        <f>(C16+C17)*60*C18/24/C15</f>
        <v>#DIV/0!</v>
      </c>
      <c r="D20" s="661" t="e">
        <f>(D16+D17)*60*D18/24/C15</f>
        <v>#DIV/0!</v>
      </c>
      <c r="E20" s="654" t="e">
        <f>E16*60*E18/24/E15</f>
        <v>#DIV/0!</v>
      </c>
      <c r="F20" s="662" t="e">
        <f>F16*60*F18/24/E15</f>
        <v>#DIV/0!</v>
      </c>
      <c r="G20" s="654" t="e">
        <f>G16*60*G18/24/G15</f>
        <v>#DIV/0!</v>
      </c>
      <c r="H20" s="662" t="e">
        <f>H16*60*H18/24/G15</f>
        <v>#DIV/0!</v>
      </c>
      <c r="I20" s="654" t="e">
        <f>I16*60*I18/24/I15</f>
        <v>#DIV/0!</v>
      </c>
      <c r="J20" s="662" t="e">
        <f>J16*60*J18/24/I15</f>
        <v>#DIV/0!</v>
      </c>
    </row>
    <row r="21" spans="2:10" ht="13.5" thickBot="1">
      <c r="B21" s="659" t="s">
        <v>358</v>
      </c>
      <c r="C21" s="849">
        <v>0</v>
      </c>
      <c r="D21" s="824">
        <v>0</v>
      </c>
      <c r="E21" s="849">
        <v>0</v>
      </c>
      <c r="F21" s="824">
        <v>0</v>
      </c>
      <c r="G21" s="849"/>
      <c r="H21" s="824"/>
      <c r="I21" s="849"/>
      <c r="J21" s="824"/>
    </row>
    <row r="22" spans="1:10" ht="13.5" thickBot="1">
      <c r="A22" s="499"/>
      <c r="B22" s="659" t="s">
        <v>359</v>
      </c>
      <c r="C22" s="849">
        <v>0</v>
      </c>
      <c r="D22" s="824">
        <v>0</v>
      </c>
      <c r="E22" s="849">
        <v>0</v>
      </c>
      <c r="F22" s="824">
        <v>0</v>
      </c>
      <c r="G22" s="849"/>
      <c r="H22" s="824"/>
      <c r="I22" s="849"/>
      <c r="J22" s="824"/>
    </row>
    <row r="23" spans="1:10" ht="13.5" thickBot="1">
      <c r="A23" s="464"/>
      <c r="B23" s="659" t="s">
        <v>360</v>
      </c>
      <c r="C23" s="758" t="e">
        <f>C21*60*C22/24/C15</f>
        <v>#DIV/0!</v>
      </c>
      <c r="D23" s="432" t="e">
        <f>D21*60*D22/24/C15</f>
        <v>#DIV/0!</v>
      </c>
      <c r="E23" s="658" t="e">
        <f>E21*60*E22/24/E15</f>
        <v>#DIV/0!</v>
      </c>
      <c r="F23" s="432" t="e">
        <f>F21*60*F22/24/E15</f>
        <v>#DIV/0!</v>
      </c>
      <c r="G23" s="658" t="e">
        <f>G21*60*G22/24/G15</f>
        <v>#DIV/0!</v>
      </c>
      <c r="H23" s="432" t="e">
        <f>H21*60*H22/24/G15</f>
        <v>#DIV/0!</v>
      </c>
      <c r="I23" s="658" t="e">
        <f>I21*60*I22/24/I15</f>
        <v>#DIV/0!</v>
      </c>
      <c r="J23" s="432" t="e">
        <f>J21*60*J22/24/I15</f>
        <v>#DIV/0!</v>
      </c>
    </row>
    <row r="24" spans="2:10" ht="12.75">
      <c r="B24" s="660" t="s">
        <v>977</v>
      </c>
      <c r="C24" s="655" t="e">
        <f aca="true" t="shared" si="0" ref="C24:J24">MAX(C20,C23)</f>
        <v>#DIV/0!</v>
      </c>
      <c r="D24" s="663" t="e">
        <f t="shared" si="0"/>
        <v>#DIV/0!</v>
      </c>
      <c r="E24" s="657" t="e">
        <f t="shared" si="0"/>
        <v>#DIV/0!</v>
      </c>
      <c r="F24" s="665" t="e">
        <f t="shared" si="0"/>
        <v>#DIV/0!</v>
      </c>
      <c r="G24" s="657" t="e">
        <f t="shared" si="0"/>
        <v>#DIV/0!</v>
      </c>
      <c r="H24" s="665" t="e">
        <f t="shared" si="0"/>
        <v>#DIV/0!</v>
      </c>
      <c r="I24" s="657" t="e">
        <f t="shared" si="0"/>
        <v>#DIV/0!</v>
      </c>
      <c r="J24" s="665" t="e">
        <f t="shared" si="0"/>
        <v>#DIV/0!</v>
      </c>
    </row>
    <row r="25" spans="1:10" ht="12.75">
      <c r="A25" s="16"/>
      <c r="B25" s="660" t="s">
        <v>978</v>
      </c>
      <c r="C25" s="656" t="e">
        <f>C24*C15/60/C13</f>
        <v>#DIV/0!</v>
      </c>
      <c r="D25" s="664" t="e">
        <f>D24*C15/60/C13</f>
        <v>#DIV/0!</v>
      </c>
      <c r="E25" s="656" t="e">
        <f>E24*E15/60/E13</f>
        <v>#DIV/0!</v>
      </c>
      <c r="F25" s="664" t="e">
        <f>F24*E15/60/E13</f>
        <v>#DIV/0!</v>
      </c>
      <c r="G25" s="656" t="e">
        <f>G24*G15/60/G13</f>
        <v>#DIV/0!</v>
      </c>
      <c r="H25" s="664" t="e">
        <f>H24*G15/60/G13</f>
        <v>#DIV/0!</v>
      </c>
      <c r="I25" s="656" t="e">
        <f>I24*I15/60/I13</f>
        <v>#DIV/0!</v>
      </c>
      <c r="J25" s="664" t="e">
        <f>J24*I15/60/I13</f>
        <v>#DIV/0!</v>
      </c>
    </row>
    <row r="26" spans="2:8" ht="12.75">
      <c r="B26" s="501"/>
      <c r="C26" s="502"/>
      <c r="D26" s="502"/>
      <c r="E26" s="502"/>
      <c r="F26" s="502"/>
      <c r="G26" s="502"/>
      <c r="H26" s="503"/>
    </row>
    <row r="27" spans="2:8" ht="12.75">
      <c r="B27" s="504" t="s">
        <v>598</v>
      </c>
      <c r="C27" s="833"/>
      <c r="D27" s="416">
        <f>C27</f>
        <v>0</v>
      </c>
      <c r="E27" s="833"/>
      <c r="F27" s="416">
        <f>E27</f>
        <v>0</v>
      </c>
      <c r="G27" s="833"/>
      <c r="H27" s="416">
        <f>G27</f>
        <v>0</v>
      </c>
    </row>
    <row r="28" spans="2:8" ht="12.75">
      <c r="B28" s="504" t="s">
        <v>595</v>
      </c>
      <c r="C28" s="382" t="e">
        <f>LOOKUP(C27,P11:P14,Q11:Q14)</f>
        <v>#N/A</v>
      </c>
      <c r="D28" s="850"/>
      <c r="E28" s="382" t="e">
        <f>LOOKUP(E27,R11:R14,S11:S14)</f>
        <v>#N/A</v>
      </c>
      <c r="F28" s="850"/>
      <c r="G28" s="382" t="e">
        <f>LOOKUP(G27,T11:T14,U11:U14)</f>
        <v>#N/A</v>
      </c>
      <c r="H28" s="856"/>
    </row>
    <row r="29" spans="2:8" ht="13.5" thickBot="1">
      <c r="B29" s="505" t="s">
        <v>602</v>
      </c>
      <c r="C29" s="506" t="e">
        <f>IF(C27="Rooftop","Enter Info Below",C16/C28)</f>
        <v>#N/A</v>
      </c>
      <c r="D29" s="506" t="e">
        <f>IF(D27="Rooftop","Enter Info Below",D16/D28)</f>
        <v>#DIV/0!</v>
      </c>
      <c r="E29" s="506" t="e">
        <f>IF(E27="Rooftop","Enter Info Below",E16/E28)</f>
        <v>#N/A</v>
      </c>
      <c r="F29" s="506" t="e">
        <f>IF(F27="Rooftop","Enter Info Below",F16/F28)</f>
        <v>#DIV/0!</v>
      </c>
      <c r="G29" s="506" t="e">
        <f>IF(G27="Rooftop","Enter Info Below",G16/G28)</f>
        <v>#N/A</v>
      </c>
      <c r="H29" s="506" t="e">
        <f>IF(H27="Rooftop","Enter Info Below",H16/H28)</f>
        <v>#DIV/0!</v>
      </c>
    </row>
    <row r="30" spans="2:8" ht="12.75">
      <c r="B30" s="507" t="s">
        <v>596</v>
      </c>
      <c r="C30" s="851" t="str">
        <f aca="true" t="shared" si="1" ref="C30:H30">IF(C27="Rooftop","","Do not Enter data")</f>
        <v>Do not Enter data</v>
      </c>
      <c r="D30" s="851" t="str">
        <f t="shared" si="1"/>
        <v>Do not Enter data</v>
      </c>
      <c r="E30" s="851" t="str">
        <f t="shared" si="1"/>
        <v>Do not Enter data</v>
      </c>
      <c r="F30" s="851" t="str">
        <f t="shared" si="1"/>
        <v>Do not Enter data</v>
      </c>
      <c r="G30" s="851" t="str">
        <f t="shared" si="1"/>
        <v>Do not Enter data</v>
      </c>
      <c r="H30" s="851" t="str">
        <f t="shared" si="1"/>
        <v>Do not Enter data</v>
      </c>
    </row>
    <row r="31" spans="2:8" ht="13.5" thickBot="1">
      <c r="B31" s="505" t="s">
        <v>602</v>
      </c>
      <c r="C31" s="508" t="str">
        <f aca="true" t="shared" si="2" ref="C31:H31">IF(C27="Rooftop",C30*746,"NA")</f>
        <v>NA</v>
      </c>
      <c r="D31" s="508" t="str">
        <f t="shared" si="2"/>
        <v>NA</v>
      </c>
      <c r="E31" s="508" t="str">
        <f t="shared" si="2"/>
        <v>NA</v>
      </c>
      <c r="F31" s="508" t="str">
        <f t="shared" si="2"/>
        <v>NA</v>
      </c>
      <c r="G31" s="508" t="str">
        <f t="shared" si="2"/>
        <v>NA</v>
      </c>
      <c r="H31" s="508" t="str">
        <f t="shared" si="2"/>
        <v>NA</v>
      </c>
    </row>
    <row r="32" spans="2:8" ht="12.75">
      <c r="B32" s="509" t="s">
        <v>597</v>
      </c>
      <c r="C32" s="851" t="str">
        <f>IF(C27="Rooftop","","Do not Enter data")</f>
        <v>Do not Enter data</v>
      </c>
      <c r="D32" s="851" t="str">
        <f>IF(D27="Rooftop","","Do not Enter data")</f>
        <v>Do not Enter data</v>
      </c>
      <c r="E32" s="851" t="str">
        <f>IF(E27="Rooftop","","Do not Enter data")</f>
        <v>Do not Enter data</v>
      </c>
      <c r="F32" s="851" t="str">
        <f>IF(F27="Rooftop","","Do not Enter data")</f>
        <v>Do not Enter data</v>
      </c>
      <c r="G32" s="851" t="str">
        <f>IF(G27="Rooftop","","Do not Enter data")</f>
        <v>Do not Enter data</v>
      </c>
      <c r="H32" s="851" t="str">
        <f>IF(H27="Rooftop","","Do not Enter data")</f>
        <v>Do not Enter data</v>
      </c>
    </row>
    <row r="33" spans="2:8" ht="12.75">
      <c r="B33" s="504" t="s">
        <v>601</v>
      </c>
      <c r="C33" s="852" t="str">
        <f>IF(C27="Rooftop","","Do not Enter data")</f>
        <v>Do not Enter data</v>
      </c>
      <c r="D33" s="852" t="str">
        <f>IF(D27="Rooftop","","Do not Enter data")</f>
        <v>Do not Enter data</v>
      </c>
      <c r="E33" s="852" t="str">
        <f>IF(E27="Rooftop","","Do not Enter data")</f>
        <v>Do not Enter data</v>
      </c>
      <c r="F33" s="852" t="str">
        <f>IF(F27="Rooftop","","Do not Enter data")</f>
        <v>Do not Enter data</v>
      </c>
      <c r="G33" s="852" t="str">
        <f>IF(G27="Rooftop","","Do not Enter data")</f>
        <v>Do not Enter data</v>
      </c>
      <c r="H33" s="852" t="str">
        <f>IF(H27="Rooftop","","Do not Enter data")</f>
        <v>Do not Enter data</v>
      </c>
    </row>
    <row r="34" spans="2:8" ht="13.5" thickBot="1">
      <c r="B34" s="505" t="s">
        <v>602</v>
      </c>
      <c r="C34" s="506" t="str">
        <f aca="true" t="shared" si="3" ref="C34:H34">IF(C27="Rooftop",C32*746/C33,"NA")</f>
        <v>NA</v>
      </c>
      <c r="D34" s="506" t="str">
        <f t="shared" si="3"/>
        <v>NA</v>
      </c>
      <c r="E34" s="506" t="str">
        <f t="shared" si="3"/>
        <v>NA</v>
      </c>
      <c r="F34" s="506" t="str">
        <f t="shared" si="3"/>
        <v>NA</v>
      </c>
      <c r="G34" s="506" t="str">
        <f t="shared" si="3"/>
        <v>NA</v>
      </c>
      <c r="H34" s="506" t="str">
        <f t="shared" si="3"/>
        <v>NA</v>
      </c>
    </row>
    <row r="35" ht="12.75"/>
    <row r="36" spans="2:6" ht="12.75">
      <c r="B36" s="511" t="s">
        <v>730</v>
      </c>
      <c r="C36" s="491" t="s">
        <v>258</v>
      </c>
      <c r="D36" s="491" t="s">
        <v>252</v>
      </c>
      <c r="E36" s="555">
        <f>IF(C46="Continuous",MIN(C37,C45)*'DHW Demand'!$K$18,MIN(C38,C45)*'DHW Demand'!$K$18)+IF(D46="Continuous",MIN(D37,D45)*'DHW Demand'!$K$19,MIN(D38,D45)*'DHW Demand'!$K$19)</f>
        <v>0</v>
      </c>
      <c r="F36" s="548" t="s">
        <v>737</v>
      </c>
    </row>
    <row r="37" spans="2:6" ht="12.75">
      <c r="B37" s="553" t="s">
        <v>731</v>
      </c>
      <c r="C37" s="459">
        <f>1.5*C41</f>
        <v>0</v>
      </c>
      <c r="D37" s="459">
        <f>1.5*20</f>
        <v>30</v>
      </c>
      <c r="E37" s="457"/>
      <c r="F37" s="551"/>
    </row>
    <row r="38" spans="2:5" ht="12.75">
      <c r="B38" s="553" t="s">
        <v>732</v>
      </c>
      <c r="C38" s="459">
        <f>1.5*100</f>
        <v>150</v>
      </c>
      <c r="D38" s="459">
        <f>1.5*50</f>
        <v>75</v>
      </c>
      <c r="E38" s="457"/>
    </row>
    <row r="39" ht="12.75">
      <c r="E39" s="457"/>
    </row>
    <row r="40" spans="3:6" ht="12.75">
      <c r="C40" s="491" t="s">
        <v>258</v>
      </c>
      <c r="D40" s="491" t="s">
        <v>252</v>
      </c>
      <c r="E40" s="555">
        <f>IF(C46="Continuous",C41*'DHW Demand'!$K$18,C42*'DHW Demand'!$K$18)+IF(D46="Continuous",D41*'DHW Demand'!$K$19,D42*'DHW Demand'!$K$19)</f>
        <v>0</v>
      </c>
      <c r="F40" s="548" t="s">
        <v>736</v>
      </c>
    </row>
    <row r="41" spans="2:5" ht="12.75">
      <c r="B41" s="553" t="s">
        <v>733</v>
      </c>
      <c r="C41" s="510">
        <f>C50</f>
        <v>0</v>
      </c>
      <c r="D41" s="459">
        <v>20</v>
      </c>
      <c r="E41" s="510"/>
    </row>
    <row r="42" spans="2:5" ht="12.75">
      <c r="B42" s="553" t="s">
        <v>734</v>
      </c>
      <c r="C42" s="459">
        <v>100</v>
      </c>
      <c r="D42" s="459">
        <v>50</v>
      </c>
      <c r="E42" s="459"/>
    </row>
    <row r="43" spans="2:5" ht="12.75">
      <c r="B43" s="553"/>
      <c r="C43" s="459"/>
      <c r="D43" s="459"/>
      <c r="E43" s="459"/>
    </row>
    <row r="44" spans="2:5" ht="12.75">
      <c r="B44" s="553" t="s">
        <v>837</v>
      </c>
      <c r="C44" s="853"/>
      <c r="D44" s="853"/>
      <c r="E44" s="459"/>
    </row>
    <row r="45" spans="2:5" ht="12.75">
      <c r="B45" s="553" t="s">
        <v>735</v>
      </c>
      <c r="C45" s="853"/>
      <c r="D45" s="853"/>
      <c r="E45" s="459"/>
    </row>
    <row r="46" spans="2:5" ht="12.75">
      <c r="B46" s="553" t="s">
        <v>727</v>
      </c>
      <c r="C46" s="854"/>
      <c r="D46" s="855"/>
      <c r="E46" s="459"/>
    </row>
    <row r="47" spans="3:5" ht="12.75">
      <c r="C47" s="556" t="str">
        <f>IF(C46="Continuous",IF(C45&lt;C41,"Insufficient Ventilation",IF(C45&gt;C37,"Exceeds Baseline","")),IF(C45&lt;C42,"Insufficient Ventilation",""))</f>
        <v>Insufficient Ventilation</v>
      </c>
      <c r="D47" s="556" t="str">
        <f>IF(D46="Continuous",IF(D45&lt;D41,"Insufficient Ventilation",""),IF(D45&lt;D42,"Insufficient Ventilation",""))</f>
        <v>Insufficient Ventilation</v>
      </c>
      <c r="E47" s="551"/>
    </row>
    <row r="48" spans="2:3" ht="12.75">
      <c r="B48" s="448" t="s">
        <v>644</v>
      </c>
      <c r="C48" s="833"/>
    </row>
    <row r="49" spans="2:3" ht="12.75">
      <c r="B49" s="448" t="s">
        <v>645</v>
      </c>
      <c r="C49" s="833"/>
    </row>
    <row r="50" spans="2:3" ht="12.75">
      <c r="B50" s="448" t="s">
        <v>646</v>
      </c>
      <c r="C50" s="385">
        <f>5*C48*C49/60</f>
        <v>0</v>
      </c>
    </row>
    <row r="51" spans="2:10" ht="13.5" thickBot="1">
      <c r="B51" s="554"/>
      <c r="C51" s="554"/>
      <c r="D51" s="554"/>
      <c r="E51" s="554"/>
      <c r="F51" s="554"/>
      <c r="G51" s="554"/>
      <c r="H51" s="554"/>
      <c r="I51" s="554"/>
      <c r="J51" s="554"/>
    </row>
    <row r="52" spans="2:7" ht="12.75">
      <c r="B52" s="511" t="s">
        <v>647</v>
      </c>
      <c r="C52" s="491" t="s">
        <v>648</v>
      </c>
      <c r="D52" s="491" t="s">
        <v>649</v>
      </c>
      <c r="E52" s="491" t="s">
        <v>650</v>
      </c>
      <c r="F52" s="491" t="s">
        <v>651</v>
      </c>
      <c r="G52" s="491" t="s">
        <v>652</v>
      </c>
    </row>
    <row r="53" spans="2:8" ht="12.75">
      <c r="B53" s="448" t="s">
        <v>653</v>
      </c>
      <c r="C53" s="853"/>
      <c r="D53" s="853"/>
      <c r="E53" s="853"/>
      <c r="F53" s="853"/>
      <c r="G53" s="853"/>
      <c r="H53" s="551"/>
    </row>
    <row r="54" spans="2:8" ht="12.75">
      <c r="B54" s="552" t="s">
        <v>723</v>
      </c>
      <c r="C54" s="510">
        <f>0.01*C53+7.5*(2)</f>
        <v>15</v>
      </c>
      <c r="D54" s="510">
        <f>0.01*D53+7.5*(2)</f>
        <v>15</v>
      </c>
      <c r="E54" s="510">
        <f>0.01*E53+7.5*(3)</f>
        <v>22.5</v>
      </c>
      <c r="F54" s="510">
        <f>0.01*F53+7.5*(4)</f>
        <v>30</v>
      </c>
      <c r="G54" s="510">
        <f>0.01*G53+7.5*(5)</f>
        <v>37.5</v>
      </c>
      <c r="H54" s="551" t="s">
        <v>739</v>
      </c>
    </row>
    <row r="55" spans="2:8" ht="12.75">
      <c r="B55" s="553" t="s">
        <v>724</v>
      </c>
      <c r="C55" s="510">
        <f>IF(C56&gt;C54*1.5,C54*1.5,C56)</f>
        <v>0</v>
      </c>
      <c r="D55" s="510">
        <f>IF(D56&gt;D54*1.5,D54*1.5,D56)</f>
        <v>0</v>
      </c>
      <c r="E55" s="510">
        <f>IF(E56&gt;E54*1.5,E54*1.5,E56)</f>
        <v>0</v>
      </c>
      <c r="F55" s="510">
        <f>IF(F56&gt;F54*1.5,F54*1.5,F56)</f>
        <v>0</v>
      </c>
      <c r="G55" s="510">
        <f>IF(G56&gt;G54*1.5,G54*1.5,G56)</f>
        <v>0</v>
      </c>
      <c r="H55" s="551" t="s">
        <v>738</v>
      </c>
    </row>
    <row r="56" spans="2:7" ht="12.75">
      <c r="B56" s="553" t="s">
        <v>725</v>
      </c>
      <c r="C56" s="830"/>
      <c r="D56" s="853"/>
      <c r="E56" s="853"/>
      <c r="F56" s="853"/>
      <c r="G56" s="853"/>
    </row>
    <row r="57" spans="3:7" ht="12.75">
      <c r="C57" s="556" t="str">
        <f>IF(C56&gt;C54*1.5,"Exceeds Baseline",IF(C56&lt;C54,"Insufficient Ventilation",""))</f>
        <v>Insufficient Ventilation</v>
      </c>
      <c r="D57" s="556" t="str">
        <f>IF(D56&gt;D54*1.5,"Exceeds Baseline",IF(D56&lt;D54,"Insufficient Ventilation",""))</f>
        <v>Insufficient Ventilation</v>
      </c>
      <c r="E57" s="556" t="str">
        <f>IF(E56&gt;E54*1.5,"Exceeds Baseline",IF(E56&lt;E54,"Insufficient Ventilation",""))</f>
        <v>Insufficient Ventilation</v>
      </c>
      <c r="F57" s="556" t="str">
        <f>IF(F56&gt;F54*1.5,"Exceeds Baseline",IF(F56&lt;F54,"Insufficient Ventilation",""))</f>
        <v>Insufficient Ventilation</v>
      </c>
      <c r="G57" s="556" t="str">
        <f>IF(G56&gt;G54*1.5,"Exceeds Baseline",IF(G56&lt;G54,"Insufficient Ventilation",""))</f>
        <v>Insufficient Ventilation</v>
      </c>
    </row>
    <row r="58" spans="2:10" ht="13.5" thickBot="1">
      <c r="B58" s="554"/>
      <c r="C58" s="729"/>
      <c r="D58" s="554"/>
      <c r="E58" s="554"/>
      <c r="F58" s="554"/>
      <c r="G58" s="554"/>
      <c r="H58" s="554"/>
      <c r="I58" s="554"/>
      <c r="J58" s="554"/>
    </row>
    <row r="59" spans="3:5" ht="12.75">
      <c r="C59" s="574" t="s">
        <v>348</v>
      </c>
      <c r="D59" s="459" t="s">
        <v>740</v>
      </c>
      <c r="E59" s="459" t="s">
        <v>530</v>
      </c>
    </row>
    <row r="60" spans="2:7" ht="12.75">
      <c r="B60" s="557" t="s">
        <v>741</v>
      </c>
      <c r="C60" s="853"/>
      <c r="D60" s="853"/>
      <c r="E60" s="853"/>
      <c r="F60" s="14">
        <f>(C60*D60*E60)/24/60</f>
        <v>0</v>
      </c>
      <c r="G60" s="548" t="s">
        <v>744</v>
      </c>
    </row>
    <row r="61" ht="12.75"/>
    <row r="62" spans="3:6" ht="12.75">
      <c r="C62" s="574" t="s">
        <v>743</v>
      </c>
      <c r="D62" s="574" t="s">
        <v>348</v>
      </c>
      <c r="E62" s="459" t="s">
        <v>740</v>
      </c>
      <c r="F62" s="459" t="s">
        <v>530</v>
      </c>
    </row>
    <row r="63" spans="2:7" ht="12.75">
      <c r="B63" s="557" t="s">
        <v>742</v>
      </c>
      <c r="C63" s="853"/>
      <c r="D63" s="853"/>
      <c r="E63" s="853"/>
      <c r="F63" s="853"/>
      <c r="G63" s="385">
        <f>(C63*D63*E63*F63)/24/60</f>
        <v>0</v>
      </c>
    </row>
    <row r="64" spans="3:7" ht="12.75">
      <c r="C64" s="853"/>
      <c r="D64" s="853"/>
      <c r="E64" s="853"/>
      <c r="F64" s="853"/>
      <c r="G64" s="385">
        <f>(C64*D64*E64*F64)/24/60</f>
        <v>0</v>
      </c>
    </row>
    <row r="65" spans="3:7" ht="12.75">
      <c r="C65" s="853"/>
      <c r="D65" s="853"/>
      <c r="E65" s="853"/>
      <c r="F65" s="853"/>
      <c r="G65" s="385">
        <f>(C65*D65*E65*F65)/24/60</f>
        <v>0</v>
      </c>
    </row>
    <row r="66" spans="3:7" ht="12.75">
      <c r="C66" s="853"/>
      <c r="D66" s="853"/>
      <c r="E66" s="853"/>
      <c r="F66" s="853"/>
      <c r="G66" s="385">
        <f>(C66*D66*E66*F66)/24/60</f>
        <v>0</v>
      </c>
    </row>
    <row r="67" spans="3:6" ht="12.75">
      <c r="C67" s="853"/>
      <c r="D67" s="853"/>
      <c r="E67" s="853"/>
      <c r="F67" s="853"/>
    </row>
    <row r="68" spans="7:8" ht="12.75">
      <c r="G68" s="385">
        <f>SUM(G63:G67)</f>
        <v>0</v>
      </c>
      <c r="H68" s="548" t="s">
        <v>745</v>
      </c>
    </row>
  </sheetData>
  <sheetProtection sheet="1" formatCells="0" formatColumns="0" formatRows="0" insertColumns="0" insertRows="0"/>
  <mergeCells count="16">
    <mergeCell ref="C12:D12"/>
    <mergeCell ref="C13:D13"/>
    <mergeCell ref="C14:D14"/>
    <mergeCell ref="C15:D15"/>
    <mergeCell ref="I12:J12"/>
    <mergeCell ref="I13:J13"/>
    <mergeCell ref="I14:J14"/>
    <mergeCell ref="I15:J15"/>
    <mergeCell ref="E12:F12"/>
    <mergeCell ref="E13:F13"/>
    <mergeCell ref="E14:F14"/>
    <mergeCell ref="E15:F15"/>
    <mergeCell ref="G12:H12"/>
    <mergeCell ref="G13:H13"/>
    <mergeCell ref="G14:H14"/>
    <mergeCell ref="G15:H15"/>
  </mergeCells>
  <conditionalFormatting sqref="D38 D42:D43">
    <cfRule type="expression" priority="7" dxfId="4" stopIfTrue="1">
      <formula>IF($D$46="Intermittent",TRUE,FALSE)</formula>
    </cfRule>
    <cfRule type="expression" priority="8" dxfId="3" stopIfTrue="1">
      <formula>IF($D$46="Continuous",TRUE,FALSE)</formula>
    </cfRule>
  </conditionalFormatting>
  <conditionalFormatting sqref="D37 D41">
    <cfRule type="expression" priority="6" dxfId="9" stopIfTrue="1">
      <formula>IF($D$46="",TRUE,FALSE)</formula>
    </cfRule>
    <cfRule type="expression" priority="11" dxfId="3" stopIfTrue="1">
      <formula>IF($D$46="Intermittent",TRUE,FALSE)</formula>
    </cfRule>
    <cfRule type="expression" priority="12" dxfId="4" stopIfTrue="1">
      <formula>IF($D$46="Continuous",TRUE,FALSE)</formula>
    </cfRule>
  </conditionalFormatting>
  <conditionalFormatting sqref="C37 C41">
    <cfRule type="expression" priority="4" dxfId="3" stopIfTrue="1">
      <formula>IF($C$46="Intermittent",TRUE,FALSE)</formula>
    </cfRule>
    <cfRule type="expression" priority="5" dxfId="4" stopIfTrue="1">
      <formula>IF($C$46="Continuous",TRUE,FALSE)</formula>
    </cfRule>
  </conditionalFormatting>
  <conditionalFormatting sqref="C38 C42:C43">
    <cfRule type="expression" priority="2" dxfId="4" stopIfTrue="1">
      <formula>IF($C$46="intermittent",TRUE,FALSE)</formula>
    </cfRule>
    <cfRule type="expression" priority="3" dxfId="3" stopIfTrue="1">
      <formula>IF($C$46="Continuous",TRUE,FALSE)</formula>
    </cfRule>
  </conditionalFormatting>
  <conditionalFormatting sqref="C16">
    <cfRule type="cellIs" priority="22" dxfId="0" operator="lessThan" stopIfTrue="1">
      <formula>$E$40</formula>
    </cfRule>
    <cfRule type="cellIs" priority="23" dxfId="0" operator="greaterThan" stopIfTrue="1">
      <formula>$E$36</formula>
    </cfRule>
    <cfRule type="cellIs" priority="24" dxfId="0" operator="greaterThan" stopIfTrue="1">
      <formula>$D$16</formula>
    </cfRule>
  </conditionalFormatting>
  <dataValidations count="2">
    <dataValidation type="list" allowBlank="1" showInputMessage="1" showErrorMessage="1" sqref="C27 G27 E27">
      <formula1>$P$11:$P$14</formula1>
    </dataValidation>
    <dataValidation type="list" allowBlank="1" showInputMessage="1" showErrorMessage="1" sqref="C46:D46">
      <formula1>$P$16:$P$17</formula1>
    </dataValidation>
  </dataValidations>
  <printOptions/>
  <pageMargins left="0.7" right="0.7" top="0.75" bottom="0.75" header="0.3" footer="0.3"/>
  <pageSetup horizontalDpi="600" verticalDpi="600" orientation="landscape" r:id="rId3"/>
  <legacyDrawing r:id="rId2"/>
</worksheet>
</file>

<file path=xl/worksheets/sheet17.xml><?xml version="1.0" encoding="utf-8"?>
<worksheet xmlns="http://schemas.openxmlformats.org/spreadsheetml/2006/main" xmlns:r="http://schemas.openxmlformats.org/officeDocument/2006/relationships">
  <sheetPr>
    <tabColor indexed="60"/>
  </sheetPr>
  <dimension ref="A1:O36"/>
  <sheetViews>
    <sheetView zoomScalePageLayoutView="0" workbookViewId="0" topLeftCell="A1">
      <selection activeCell="C11" sqref="C11"/>
    </sheetView>
  </sheetViews>
  <sheetFormatPr defaultColWidth="9.140625" defaultRowHeight="12.75"/>
  <cols>
    <col min="1" max="1" width="2.00390625" style="14" bestFit="1" customWidth="1"/>
    <col min="2" max="2" width="35.57421875" style="14" customWidth="1"/>
    <col min="3" max="3" width="14.28125" style="14" customWidth="1"/>
    <col min="4" max="4" width="12.421875" style="14" customWidth="1"/>
    <col min="5" max="5" width="11.421875" style="14" customWidth="1"/>
    <col min="6" max="11" width="10.00390625" style="14" customWidth="1"/>
    <col min="12" max="12" width="9.140625" style="14" customWidth="1"/>
    <col min="13" max="13" width="27.57421875" style="14" bestFit="1" customWidth="1"/>
    <col min="14" max="16384" width="9.140625" style="14" customWidth="1"/>
  </cols>
  <sheetData>
    <row r="1" spans="1:2" ht="12.75">
      <c r="A1" s="15"/>
      <c r="B1" s="15" t="s">
        <v>346</v>
      </c>
    </row>
    <row r="2" spans="1:5" ht="12.75">
      <c r="A2" s="14">
        <v>1</v>
      </c>
      <c r="B2" s="446" t="s">
        <v>514</v>
      </c>
      <c r="C2" s="402"/>
      <c r="D2" s="402"/>
      <c r="E2" s="402"/>
    </row>
    <row r="3" spans="1:5" ht="12.75">
      <c r="A3" s="14">
        <v>2</v>
      </c>
      <c r="B3" s="446" t="s">
        <v>515</v>
      </c>
      <c r="C3" s="402"/>
      <c r="D3" s="402"/>
      <c r="E3" s="402"/>
    </row>
    <row r="4" spans="1:4" ht="12.75">
      <c r="A4" s="14">
        <v>3</v>
      </c>
      <c r="B4" s="14" t="s">
        <v>216</v>
      </c>
      <c r="C4" s="402"/>
      <c r="D4" s="402"/>
    </row>
    <row r="5" spans="1:4" ht="12.75">
      <c r="A5" s="14">
        <v>4</v>
      </c>
      <c r="B5" s="375" t="s">
        <v>347</v>
      </c>
      <c r="C5" s="402"/>
      <c r="D5" s="402"/>
    </row>
    <row r="6" spans="1:3" ht="12.75">
      <c r="A6" s="14">
        <v>5</v>
      </c>
      <c r="B6" s="376" t="s">
        <v>513</v>
      </c>
      <c r="C6" s="402"/>
    </row>
    <row r="7" spans="3:11" ht="15" thickBot="1">
      <c r="C7" s="1375" t="s">
        <v>144</v>
      </c>
      <c r="D7" s="1376"/>
      <c r="E7" s="1375" t="s">
        <v>361</v>
      </c>
      <c r="F7" s="1377"/>
      <c r="G7" s="1377"/>
      <c r="H7" s="1377"/>
      <c r="I7" s="1377"/>
      <c r="J7" s="1377"/>
      <c r="K7" s="1376"/>
    </row>
    <row r="8" spans="2:15" ht="42.75">
      <c r="B8" s="451"/>
      <c r="C8" s="512" t="s">
        <v>362</v>
      </c>
      <c r="D8" s="512" t="s">
        <v>134</v>
      </c>
      <c r="E8" s="512" t="s">
        <v>134</v>
      </c>
      <c r="F8" s="512" t="s">
        <v>363</v>
      </c>
      <c r="G8" s="512" t="s">
        <v>364</v>
      </c>
      <c r="H8" s="512" t="s">
        <v>365</v>
      </c>
      <c r="I8" s="512" t="s">
        <v>366</v>
      </c>
      <c r="J8" s="512" t="s">
        <v>367</v>
      </c>
      <c r="K8" s="512" t="s">
        <v>368</v>
      </c>
      <c r="M8" s="1371" t="s">
        <v>931</v>
      </c>
      <c r="N8" s="1372"/>
      <c r="O8" s="1373"/>
    </row>
    <row r="9" spans="2:15" ht="15" thickBot="1">
      <c r="B9" s="451" t="s">
        <v>369</v>
      </c>
      <c r="C9" s="513" t="s">
        <v>370</v>
      </c>
      <c r="D9" s="513" t="s">
        <v>370</v>
      </c>
      <c r="E9" s="1374"/>
      <c r="F9" s="1374"/>
      <c r="G9" s="1374"/>
      <c r="H9" s="1374"/>
      <c r="I9" s="1374"/>
      <c r="J9" s="1374"/>
      <c r="K9" s="1374"/>
      <c r="M9" s="647" t="s">
        <v>929</v>
      </c>
      <c r="N9" s="379" t="s">
        <v>589</v>
      </c>
      <c r="O9" s="648" t="s">
        <v>239</v>
      </c>
    </row>
    <row r="10" spans="2:15" ht="15" thickBot="1">
      <c r="B10" s="516" t="s">
        <v>239</v>
      </c>
      <c r="C10" s="514">
        <f>IF(C11&gt;15000,9.305,IF(C11&lt;7000,11.009,12.5-(0.213*C11/1000)))</f>
        <v>11.009</v>
      </c>
      <c r="D10" s="515">
        <f>IF(D11&gt;15000,9.305,IF(D11&lt;7000,11.009,12.5-(0.213*D11/1000)))</f>
        <v>11.009</v>
      </c>
      <c r="E10" s="857"/>
      <c r="F10" s="857"/>
      <c r="G10" s="857"/>
      <c r="H10" s="857"/>
      <c r="I10" s="857"/>
      <c r="J10" s="857"/>
      <c r="K10" s="857"/>
      <c r="M10" s="676"/>
      <c r="N10" s="857"/>
      <c r="O10" s="730">
        <f>-0.02*N10^2+1.12*N10</f>
        <v>0</v>
      </c>
    </row>
    <row r="11" spans="2:15" ht="16.5" customHeight="1" thickBot="1">
      <c r="B11" s="650" t="s">
        <v>371</v>
      </c>
      <c r="C11" s="858"/>
      <c r="D11" s="858"/>
      <c r="E11" s="858"/>
      <c r="F11" s="858"/>
      <c r="G11" s="858"/>
      <c r="H11" s="858"/>
      <c r="I11" s="858"/>
      <c r="J11" s="858"/>
      <c r="K11" s="858"/>
      <c r="M11" s="647" t="s">
        <v>970</v>
      </c>
      <c r="N11" s="379" t="s">
        <v>588</v>
      </c>
      <c r="O11" s="648" t="s">
        <v>591</v>
      </c>
    </row>
    <row r="12" spans="2:15" ht="15" thickBot="1">
      <c r="B12" s="516" t="s">
        <v>372</v>
      </c>
      <c r="C12" s="517" t="s">
        <v>73</v>
      </c>
      <c r="D12" s="518" t="s">
        <v>73</v>
      </c>
      <c r="E12" s="859"/>
      <c r="F12" s="859"/>
      <c r="G12" s="859"/>
      <c r="H12" s="859"/>
      <c r="I12" s="859"/>
      <c r="J12" s="859"/>
      <c r="K12" s="859"/>
      <c r="M12" s="649" t="s">
        <v>930</v>
      </c>
      <c r="N12" s="857"/>
      <c r="O12" s="730">
        <f>0.2778*N12+0.9667</f>
        <v>0.9667</v>
      </c>
    </row>
    <row r="13" spans="2:15" ht="15" thickBot="1">
      <c r="B13" s="516" t="s">
        <v>373</v>
      </c>
      <c r="C13" s="517" t="s">
        <v>73</v>
      </c>
      <c r="D13" s="518" t="s">
        <v>73</v>
      </c>
      <c r="E13" s="860"/>
      <c r="F13" s="860"/>
      <c r="G13" s="860"/>
      <c r="H13" s="860"/>
      <c r="I13" s="860"/>
      <c r="J13" s="860"/>
      <c r="K13" s="860"/>
      <c r="M13" s="749" t="s">
        <v>971</v>
      </c>
      <c r="N13" s="750"/>
      <c r="O13" s="751">
        <f>-0.0255*N13^2+0.6239*N13</f>
        <v>0</v>
      </c>
    </row>
    <row r="14" spans="2:15" ht="15" thickBot="1">
      <c r="B14" s="516" t="s">
        <v>348</v>
      </c>
      <c r="C14" s="517" t="s">
        <v>73</v>
      </c>
      <c r="D14" s="518" t="s">
        <v>73</v>
      </c>
      <c r="E14" s="861"/>
      <c r="F14" s="861"/>
      <c r="G14" s="861"/>
      <c r="H14" s="861"/>
      <c r="I14" s="861"/>
      <c r="J14" s="861"/>
      <c r="K14" s="861"/>
      <c r="M14" s="752" t="s">
        <v>972</v>
      </c>
      <c r="N14" s="750"/>
      <c r="O14" s="753">
        <f>0.4813*N14-0.2606</f>
        <v>-0.2606</v>
      </c>
    </row>
    <row r="15" spans="2:11" ht="14.25">
      <c r="B15" s="516" t="s">
        <v>240</v>
      </c>
      <c r="C15" s="519">
        <v>0.0003</v>
      </c>
      <c r="D15" s="519">
        <v>0.0003</v>
      </c>
      <c r="E15" s="519">
        <f>IF(E14+E13=0,0,E12*0.746/E14/E13)</f>
        <v>0</v>
      </c>
      <c r="F15" s="519">
        <f aca="true" t="shared" si="0" ref="F15:K15">IF(F14+F13=0,0,F12*0.746/F14/F13)</f>
        <v>0</v>
      </c>
      <c r="G15" s="519">
        <f t="shared" si="0"/>
        <v>0</v>
      </c>
      <c r="H15" s="519">
        <f t="shared" si="0"/>
        <v>0</v>
      </c>
      <c r="I15" s="519">
        <f t="shared" si="0"/>
        <v>0</v>
      </c>
      <c r="J15" s="519">
        <f t="shared" si="0"/>
        <v>0</v>
      </c>
      <c r="K15" s="519">
        <f t="shared" si="0"/>
        <v>0</v>
      </c>
    </row>
    <row r="16" spans="2:11" ht="14.25">
      <c r="B16" s="516" t="s">
        <v>374</v>
      </c>
      <c r="C16" s="520">
        <f>(1/C10-0.365*400/12000)/((1/3.413)+0.365*400/12000)</f>
        <v>0.2577895729181931</v>
      </c>
      <c r="D16" s="520">
        <f>(1/D10-0.365*400/12000)/((1/3.413)+0.365*400/12000)</f>
        <v>0.2577895729181931</v>
      </c>
      <c r="E16" s="520" t="e">
        <f aca="true" t="shared" si="1" ref="E16:K16">(1/E10-0.365*400/12000)/((1/3.413)+0.365*400/12000)</f>
        <v>#DIV/0!</v>
      </c>
      <c r="F16" s="520" t="e">
        <f t="shared" si="1"/>
        <v>#DIV/0!</v>
      </c>
      <c r="G16" s="520" t="e">
        <f t="shared" si="1"/>
        <v>#DIV/0!</v>
      </c>
      <c r="H16" s="520" t="e">
        <f t="shared" si="1"/>
        <v>#DIV/0!</v>
      </c>
      <c r="I16" s="520" t="e">
        <f t="shared" si="1"/>
        <v>#DIV/0!</v>
      </c>
      <c r="J16" s="520" t="e">
        <f t="shared" si="1"/>
        <v>#DIV/0!</v>
      </c>
      <c r="K16" s="520" t="e">
        <f t="shared" si="1"/>
        <v>#DIV/0!</v>
      </c>
    </row>
    <row r="17" ht="12.75">
      <c r="B17" s="402"/>
    </row>
    <row r="18" ht="12.75">
      <c r="B18" s="402"/>
    </row>
    <row r="19" spans="2:11" ht="14.25">
      <c r="B19" s="402"/>
      <c r="C19" s="1375" t="s">
        <v>144</v>
      </c>
      <c r="D19" s="1376"/>
      <c r="E19" s="1375" t="s">
        <v>361</v>
      </c>
      <c r="F19" s="1377"/>
      <c r="G19" s="1377"/>
      <c r="H19" s="1377"/>
      <c r="I19" s="1377"/>
      <c r="J19" s="1377"/>
      <c r="K19" s="1376"/>
    </row>
    <row r="20" spans="2:11" ht="42.75">
      <c r="B20" s="516"/>
      <c r="C20" s="512" t="s">
        <v>362</v>
      </c>
      <c r="D20" s="512" t="s">
        <v>134</v>
      </c>
      <c r="E20" s="512" t="s">
        <v>134</v>
      </c>
      <c r="F20" s="512" t="s">
        <v>363</v>
      </c>
      <c r="G20" s="512" t="s">
        <v>364</v>
      </c>
      <c r="H20" s="512" t="s">
        <v>365</v>
      </c>
      <c r="I20" s="512" t="s">
        <v>366</v>
      </c>
      <c r="J20" s="512" t="s">
        <v>367</v>
      </c>
      <c r="K20" s="512" t="s">
        <v>368</v>
      </c>
    </row>
    <row r="21" spans="2:14" ht="15" thickBot="1">
      <c r="B21" s="516" t="s">
        <v>369</v>
      </c>
      <c r="C21" s="513" t="s">
        <v>16</v>
      </c>
      <c r="D21" s="513" t="s">
        <v>16</v>
      </c>
      <c r="E21" s="1374"/>
      <c r="F21" s="1374"/>
      <c r="G21" s="1374"/>
      <c r="H21" s="1374"/>
      <c r="I21" s="1374"/>
      <c r="J21" s="1374"/>
      <c r="K21" s="1374"/>
      <c r="N21" s="731"/>
    </row>
    <row r="22" spans="2:14" ht="15" thickBot="1">
      <c r="B22" s="516" t="s">
        <v>763</v>
      </c>
      <c r="C22" s="514">
        <f>IF(C23&gt;15000,9.105,IF(C23&lt;7000,10.809,12.3-(0.213*C23/1000)))</f>
        <v>10.809</v>
      </c>
      <c r="D22" s="515">
        <f>IF(D23&gt;15000,9.105,IF(D23&lt;7000,10.809,12.3-(0.213*D23/1000)))</f>
        <v>10.809</v>
      </c>
      <c r="E22" s="857"/>
      <c r="F22" s="857"/>
      <c r="G22" s="857"/>
      <c r="H22" s="857"/>
      <c r="I22" s="857"/>
      <c r="J22" s="857"/>
      <c r="K22" s="857"/>
      <c r="N22" s="731"/>
    </row>
    <row r="23" spans="2:14" ht="15" thickBot="1">
      <c r="B23" s="650" t="s">
        <v>371</v>
      </c>
      <c r="C23" s="858"/>
      <c r="D23" s="858"/>
      <c r="E23" s="858"/>
      <c r="F23" s="858"/>
      <c r="G23" s="858"/>
      <c r="H23" s="858"/>
      <c r="I23" s="858"/>
      <c r="J23" s="858"/>
      <c r="K23" s="858"/>
      <c r="N23" s="732"/>
    </row>
    <row r="24" spans="2:14" ht="15" thickBot="1">
      <c r="B24" s="516" t="s">
        <v>372</v>
      </c>
      <c r="C24" s="757">
        <f>0.85*1000*C27*C29/30/746</f>
        <v>0</v>
      </c>
      <c r="D24" s="757">
        <f>0.85*1000*D27*D29/30/746</f>
        <v>0</v>
      </c>
      <c r="E24" s="859"/>
      <c r="F24" s="859"/>
      <c r="G24" s="859"/>
      <c r="H24" s="859"/>
      <c r="I24" s="859"/>
      <c r="J24" s="859"/>
      <c r="K24" s="859"/>
      <c r="N24" s="732"/>
    </row>
    <row r="25" spans="2:14" ht="15" thickBot="1">
      <c r="B25" s="516" t="s">
        <v>373</v>
      </c>
      <c r="C25" s="517" t="s">
        <v>73</v>
      </c>
      <c r="D25" s="518" t="s">
        <v>73</v>
      </c>
      <c r="E25" s="860"/>
      <c r="F25" s="860"/>
      <c r="G25" s="860"/>
      <c r="H25" s="860"/>
      <c r="I25" s="860"/>
      <c r="J25" s="860"/>
      <c r="K25" s="860"/>
      <c r="N25" s="732"/>
    </row>
    <row r="26" spans="2:14" ht="15" thickBot="1">
      <c r="B26" s="516" t="s">
        <v>348</v>
      </c>
      <c r="C26" s="517" t="s">
        <v>73</v>
      </c>
      <c r="D26" s="518" t="s">
        <v>73</v>
      </c>
      <c r="E26" s="861"/>
      <c r="F26" s="861"/>
      <c r="G26" s="861"/>
      <c r="H26" s="861"/>
      <c r="I26" s="861"/>
      <c r="J26" s="861"/>
      <c r="K26" s="861"/>
      <c r="N26" s="732"/>
    </row>
    <row r="27" spans="2:11" ht="14.25">
      <c r="B27" s="516" t="s">
        <v>240</v>
      </c>
      <c r="C27" s="519">
        <v>0.0003</v>
      </c>
      <c r="D27" s="519">
        <v>0.0003</v>
      </c>
      <c r="E27" s="519">
        <f aca="true" t="shared" si="2" ref="E27:K27">IF(E26+E25=0,0,E24*0.746/E26/E25)</f>
        <v>0</v>
      </c>
      <c r="F27" s="519">
        <f t="shared" si="2"/>
        <v>0</v>
      </c>
      <c r="G27" s="519">
        <f t="shared" si="2"/>
        <v>0</v>
      </c>
      <c r="H27" s="519">
        <f t="shared" si="2"/>
        <v>0</v>
      </c>
      <c r="I27" s="519">
        <f t="shared" si="2"/>
        <v>0</v>
      </c>
      <c r="J27" s="519">
        <f t="shared" si="2"/>
        <v>0</v>
      </c>
      <c r="K27" s="519">
        <f t="shared" si="2"/>
        <v>0</v>
      </c>
    </row>
    <row r="28" spans="2:11" ht="15" thickBot="1">
      <c r="B28" s="516" t="s">
        <v>762</v>
      </c>
      <c r="C28" s="520">
        <f>(1/C22-0.365*400/12000)/((1/3.413)+0.365*400/12000)</f>
        <v>0.26329718401113056</v>
      </c>
      <c r="D28" s="520">
        <f>(1/D22-0.365*400/12000)/((1/3.413)+0.365*400/12000)</f>
        <v>0.26329718401113056</v>
      </c>
      <c r="E28" s="520" t="e">
        <f aca="true" t="shared" si="3" ref="E28:K28">(1/E22-0.365*400/12000)/((1/3.413)+0.365*400/12000)</f>
        <v>#DIV/0!</v>
      </c>
      <c r="F28" s="520" t="e">
        <f t="shared" si="3"/>
        <v>#DIV/0!</v>
      </c>
      <c r="G28" s="520" t="e">
        <f t="shared" si="3"/>
        <v>#DIV/0!</v>
      </c>
      <c r="H28" s="520" t="e">
        <f t="shared" si="3"/>
        <v>#DIV/0!</v>
      </c>
      <c r="I28" s="520" t="e">
        <f t="shared" si="3"/>
        <v>#DIV/0!</v>
      </c>
      <c r="J28" s="520" t="e">
        <f t="shared" si="3"/>
        <v>#DIV/0!</v>
      </c>
      <c r="K28" s="520" t="e">
        <f t="shared" si="3"/>
        <v>#DIV/0!</v>
      </c>
    </row>
    <row r="29" spans="2:11" ht="15" thickBot="1">
      <c r="B29" s="650" t="s">
        <v>764</v>
      </c>
      <c r="C29" s="858"/>
      <c r="D29" s="858"/>
      <c r="E29" s="858"/>
      <c r="F29" s="858"/>
      <c r="G29" s="858"/>
      <c r="H29" s="858"/>
      <c r="I29" s="858"/>
      <c r="J29" s="858"/>
      <c r="K29" s="858"/>
    </row>
    <row r="30" spans="2:11" ht="15" thickBot="1">
      <c r="B30" s="516" t="s">
        <v>973</v>
      </c>
      <c r="C30" s="754">
        <f>IF(C29&gt;15000,2.81,IF(C29&lt;7000,3.018,3.2-(0.026*C29/1000)))</f>
        <v>3.018</v>
      </c>
      <c r="D30" s="754">
        <f>IF(D29&gt;15000,2.81,IF(D29&lt;7000,3.018,3.2-(0.026*D29/1000)))</f>
        <v>3.018</v>
      </c>
      <c r="E30" s="755"/>
      <c r="F30" s="755"/>
      <c r="G30" s="755"/>
      <c r="H30" s="755"/>
      <c r="I30" s="755"/>
      <c r="J30" s="755"/>
      <c r="K30" s="755"/>
    </row>
    <row r="31" spans="2:11" ht="14.25">
      <c r="B31" s="516" t="s">
        <v>974</v>
      </c>
      <c r="C31" s="754" t="e">
        <f>((C29/3413)-C24*0.7457)/((C29/(C30*3413))-C24*0.7457)</f>
        <v>#DIV/0!</v>
      </c>
      <c r="D31" s="754" t="e">
        <f>((D29/3413)-D24*0.7457)/((D29/(D30*3413))-D24*0.7457)</f>
        <v>#DIV/0!</v>
      </c>
      <c r="E31" s="754" t="e">
        <f aca="true" t="shared" si="4" ref="E31:K31">((E29/3413)-E24*0.7457)/((E29/(E30*3413))-E24*0.7457)</f>
        <v>#DIV/0!</v>
      </c>
      <c r="F31" s="754" t="e">
        <f t="shared" si="4"/>
        <v>#DIV/0!</v>
      </c>
      <c r="G31" s="754" t="e">
        <f t="shared" si="4"/>
        <v>#DIV/0!</v>
      </c>
      <c r="H31" s="754" t="e">
        <f t="shared" si="4"/>
        <v>#DIV/0!</v>
      </c>
      <c r="I31" s="754" t="e">
        <f t="shared" si="4"/>
        <v>#DIV/0!</v>
      </c>
      <c r="J31" s="754" t="e">
        <f t="shared" si="4"/>
        <v>#DIV/0!</v>
      </c>
      <c r="K31" s="754" t="e">
        <f t="shared" si="4"/>
        <v>#DIV/0!</v>
      </c>
    </row>
    <row r="32" spans="2:11" ht="14.25">
      <c r="B32" s="516" t="s">
        <v>975</v>
      </c>
      <c r="C32" s="756" t="e">
        <f aca="true" t="shared" si="5" ref="C32:K32">1/C31</f>
        <v>#DIV/0!</v>
      </c>
      <c r="D32" s="756" t="e">
        <f t="shared" si="5"/>
        <v>#DIV/0!</v>
      </c>
      <c r="E32" s="756" t="e">
        <f t="shared" si="5"/>
        <v>#DIV/0!</v>
      </c>
      <c r="F32" s="756" t="e">
        <f t="shared" si="5"/>
        <v>#DIV/0!</v>
      </c>
      <c r="G32" s="756" t="e">
        <f t="shared" si="5"/>
        <v>#DIV/0!</v>
      </c>
      <c r="H32" s="756" t="e">
        <f t="shared" si="5"/>
        <v>#DIV/0!</v>
      </c>
      <c r="I32" s="756" t="e">
        <f t="shared" si="5"/>
        <v>#DIV/0!</v>
      </c>
      <c r="J32" s="756" t="e">
        <f t="shared" si="5"/>
        <v>#DIV/0!</v>
      </c>
      <c r="K32" s="756" t="e">
        <f t="shared" si="5"/>
        <v>#DIV/0!</v>
      </c>
    </row>
    <row r="33" ht="12.75">
      <c r="B33" s="402"/>
    </row>
    <row r="34" ht="12.75">
      <c r="B34" s="402"/>
    </row>
    <row r="35" ht="12.75">
      <c r="B35" s="402"/>
    </row>
    <row r="36" ht="12.75">
      <c r="B36" s="402"/>
    </row>
  </sheetData>
  <sheetProtection sheet="1" insertColumns="0" insertRows="0"/>
  <mergeCells count="7">
    <mergeCell ref="M8:O8"/>
    <mergeCell ref="E21:K21"/>
    <mergeCell ref="C7:D7"/>
    <mergeCell ref="E7:K7"/>
    <mergeCell ref="E9:K9"/>
    <mergeCell ref="C19:D19"/>
    <mergeCell ref="E19:K1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indexed="10"/>
  </sheetPr>
  <dimension ref="A1:BT146"/>
  <sheetViews>
    <sheetView zoomScale="90" zoomScaleNormal="90" zoomScalePageLayoutView="0" workbookViewId="0" topLeftCell="A1">
      <selection activeCell="A13" sqref="A13"/>
    </sheetView>
  </sheetViews>
  <sheetFormatPr defaultColWidth="9.140625" defaultRowHeight="12.75"/>
  <cols>
    <col min="1" max="1" width="6.57421875" style="129" customWidth="1"/>
    <col min="2" max="2" width="7.28125" style="129" customWidth="1"/>
    <col min="3" max="3" width="6.8515625" style="129" customWidth="1"/>
    <col min="4" max="4" width="7.140625" style="129" customWidth="1"/>
    <col min="5" max="5" width="5.7109375" style="129" customWidth="1"/>
    <col min="6" max="6" width="11.57421875" style="129" customWidth="1"/>
    <col min="7" max="7" width="14.8515625" style="129" customWidth="1"/>
    <col min="8" max="8" width="17.00390625" style="129" customWidth="1"/>
    <col min="9" max="9" width="30.421875" style="129" customWidth="1"/>
    <col min="10" max="10" width="23.00390625" style="129" bestFit="1" customWidth="1"/>
    <col min="11" max="11" width="9.140625" style="129" customWidth="1"/>
    <col min="12" max="12" width="13.57421875" style="129" customWidth="1"/>
    <col min="13" max="13" width="14.00390625" style="734" customWidth="1"/>
    <col min="14" max="14" width="15.00390625" style="734" customWidth="1"/>
    <col min="15" max="15" width="13.57421875" style="734" customWidth="1"/>
    <col min="16" max="16" width="14.28125" style="734" customWidth="1"/>
    <col min="17" max="17" width="13.8515625" style="734" customWidth="1"/>
    <col min="18" max="18" width="11.8515625" style="734" customWidth="1"/>
    <col min="19" max="19" width="12.421875" style="734" customWidth="1"/>
    <col min="20" max="20" width="15.57421875" style="734" bestFit="1" customWidth="1"/>
    <col min="21" max="21" width="13.421875" style="734" customWidth="1"/>
    <col min="22" max="22" width="15.7109375" style="734" customWidth="1"/>
    <col min="23" max="23" width="12.140625" style="734" customWidth="1"/>
    <col min="24" max="24" width="8.57421875" style="734" customWidth="1"/>
    <col min="25" max="49" width="9.140625" style="734" hidden="1" customWidth="1"/>
    <col min="50" max="50" width="13.8515625" style="734" bestFit="1" customWidth="1"/>
    <col min="51" max="51" width="13.57421875" style="734" customWidth="1"/>
    <col min="52" max="52" width="15.57421875" style="734" bestFit="1" customWidth="1"/>
    <col min="53" max="53" width="13.57421875" style="734" customWidth="1"/>
    <col min="54" max="54" width="13.140625" style="734" customWidth="1"/>
    <col min="55" max="55" width="13.7109375" style="734" customWidth="1"/>
    <col min="56" max="56" width="12.00390625" style="734" customWidth="1"/>
    <col min="57" max="57" width="11.57421875" style="734" customWidth="1"/>
    <col min="58" max="58" width="15.421875" style="734" customWidth="1"/>
    <col min="59" max="59" width="13.421875" style="734" customWidth="1"/>
    <col min="60" max="60" width="15.421875" style="734" customWidth="1"/>
    <col min="61" max="61" width="12.00390625" style="734" customWidth="1"/>
    <col min="62" max="62" width="13.57421875" style="734" customWidth="1"/>
    <col min="63" max="67" width="9.140625" style="734" customWidth="1"/>
    <col min="68" max="68" width="18.8515625" style="734" customWidth="1"/>
    <col min="69" max="69" width="16.7109375" style="734" customWidth="1"/>
    <col min="70" max="16384" width="9.140625" style="734" customWidth="1"/>
  </cols>
  <sheetData>
    <row r="1" spans="2:5" ht="14.25">
      <c r="B1" s="15" t="s">
        <v>346</v>
      </c>
      <c r="C1" s="733"/>
      <c r="D1" s="733"/>
      <c r="E1" s="733"/>
    </row>
    <row r="2" spans="1:5" ht="14.25">
      <c r="A2" s="131">
        <v>1</v>
      </c>
      <c r="B2" s="131" t="s">
        <v>719</v>
      </c>
      <c r="C2" s="735"/>
      <c r="D2" s="735"/>
      <c r="E2" s="735"/>
    </row>
    <row r="3" spans="1:12" ht="14.25">
      <c r="A3" s="313">
        <v>2</v>
      </c>
      <c r="B3" s="313" t="s">
        <v>699</v>
      </c>
      <c r="C3" s="735"/>
      <c r="D3" s="735"/>
      <c r="E3" s="735"/>
      <c r="F3" s="734"/>
      <c r="G3" s="734"/>
      <c r="H3" s="734"/>
      <c r="I3" s="734"/>
      <c r="J3" s="734"/>
      <c r="K3" s="734"/>
      <c r="L3" s="734"/>
    </row>
    <row r="4" spans="1:12" ht="14.25">
      <c r="A4" s="313">
        <v>3</v>
      </c>
      <c r="B4" s="313" t="s">
        <v>701</v>
      </c>
      <c r="C4" s="734"/>
      <c r="D4" s="734"/>
      <c r="E4" s="736"/>
      <c r="F4" s="734"/>
      <c r="G4" s="734"/>
      <c r="H4" s="734"/>
      <c r="I4" s="734"/>
      <c r="J4" s="734"/>
      <c r="K4" s="734"/>
      <c r="L4" s="734"/>
    </row>
    <row r="5" spans="1:8" ht="14.25">
      <c r="A5" s="131">
        <v>4</v>
      </c>
      <c r="B5" s="131" t="s">
        <v>215</v>
      </c>
      <c r="D5" s="734"/>
      <c r="E5" s="736"/>
      <c r="F5" s="734"/>
      <c r="G5" s="734"/>
      <c r="H5" s="734"/>
    </row>
    <row r="6" spans="1:2" ht="15" thickBot="1">
      <c r="A6" s="131">
        <v>5</v>
      </c>
      <c r="B6" s="315" t="s">
        <v>655</v>
      </c>
    </row>
    <row r="7" spans="1:61" s="313" customFormat="1" ht="13.5" thickBot="1">
      <c r="A7" s="131"/>
      <c r="B7" s="737"/>
      <c r="C7" s="131"/>
      <c r="D7" s="131"/>
      <c r="E7" s="131"/>
      <c r="F7" s="131"/>
      <c r="G7" s="131"/>
      <c r="H7" s="131"/>
      <c r="I7" s="131"/>
      <c r="J7" s="131"/>
      <c r="K7" s="131"/>
      <c r="L7" s="738" t="s">
        <v>320</v>
      </c>
      <c r="M7" s="738" t="s">
        <v>320</v>
      </c>
      <c r="N7" s="738" t="s">
        <v>322</v>
      </c>
      <c r="O7" s="738" t="s">
        <v>318</v>
      </c>
      <c r="P7" s="738" t="s">
        <v>319</v>
      </c>
      <c r="Q7" s="738" t="s">
        <v>319</v>
      </c>
      <c r="R7" s="738" t="s">
        <v>323</v>
      </c>
      <c r="S7" s="738" t="s">
        <v>323</v>
      </c>
      <c r="T7" s="738" t="s">
        <v>322</v>
      </c>
      <c r="U7" s="738" t="s">
        <v>318</v>
      </c>
      <c r="V7" s="738" t="s">
        <v>321</v>
      </c>
      <c r="W7" s="738" t="s">
        <v>323</v>
      </c>
      <c r="AX7" s="738" t="s">
        <v>320</v>
      </c>
      <c r="AY7" s="738" t="s">
        <v>320</v>
      </c>
      <c r="AZ7" s="738" t="s">
        <v>322</v>
      </c>
      <c r="BA7" s="738" t="s">
        <v>318</v>
      </c>
      <c r="BB7" s="738" t="s">
        <v>319</v>
      </c>
      <c r="BC7" s="738" t="s">
        <v>319</v>
      </c>
      <c r="BD7" s="738" t="s">
        <v>323</v>
      </c>
      <c r="BE7" s="738" t="s">
        <v>323</v>
      </c>
      <c r="BF7" s="738" t="s">
        <v>322</v>
      </c>
      <c r="BG7" s="738" t="s">
        <v>318</v>
      </c>
      <c r="BH7" s="738" t="s">
        <v>321</v>
      </c>
      <c r="BI7" s="738" t="s">
        <v>323</v>
      </c>
    </row>
    <row r="8" spans="1:67" s="313" customFormat="1" ht="12.75">
      <c r="A8" s="315" t="s">
        <v>391</v>
      </c>
      <c r="B8" s="315" t="s">
        <v>702</v>
      </c>
      <c r="C8" s="131"/>
      <c r="D8" s="131"/>
      <c r="E8" s="131"/>
      <c r="F8" s="131"/>
      <c r="G8" s="131"/>
      <c r="H8" s="131"/>
      <c r="I8" s="131"/>
      <c r="J8" s="131"/>
      <c r="K8" s="131"/>
      <c r="L8" s="313" t="s">
        <v>84</v>
      </c>
      <c r="Y8" s="313" t="s">
        <v>85</v>
      </c>
      <c r="AK8" s="313" t="s">
        <v>86</v>
      </c>
      <c r="AX8" s="313" t="s">
        <v>87</v>
      </c>
      <c r="BK8" s="313" t="s">
        <v>88</v>
      </c>
      <c r="BM8" s="313" t="s">
        <v>89</v>
      </c>
      <c r="BO8" s="313" t="s">
        <v>90</v>
      </c>
    </row>
    <row r="9" spans="1:70" s="313" customFormat="1" ht="12.75">
      <c r="A9" s="131"/>
      <c r="B9" s="131"/>
      <c r="C9" s="131"/>
      <c r="D9" s="131"/>
      <c r="E9" s="131"/>
      <c r="F9" s="131"/>
      <c r="G9" s="131"/>
      <c r="H9" s="131"/>
      <c r="I9" s="131"/>
      <c r="J9" s="131"/>
      <c r="K9" s="131" t="s">
        <v>91</v>
      </c>
      <c r="L9" s="313" t="s">
        <v>92</v>
      </c>
      <c r="M9" s="313" t="s">
        <v>92</v>
      </c>
      <c r="N9" s="313" t="s">
        <v>92</v>
      </c>
      <c r="O9" s="313" t="s">
        <v>92</v>
      </c>
      <c r="P9" s="313" t="s">
        <v>92</v>
      </c>
      <c r="Q9" s="313" t="s">
        <v>92</v>
      </c>
      <c r="R9" s="313" t="s">
        <v>92</v>
      </c>
      <c r="S9" s="313" t="s">
        <v>92</v>
      </c>
      <c r="T9" s="313" t="s">
        <v>92</v>
      </c>
      <c r="U9" s="313" t="s">
        <v>92</v>
      </c>
      <c r="V9" s="313" t="s">
        <v>92</v>
      </c>
      <c r="W9" s="313" t="s">
        <v>92</v>
      </c>
      <c r="X9" s="313" t="s">
        <v>92</v>
      </c>
      <c r="Y9" s="313" t="s">
        <v>92</v>
      </c>
      <c r="Z9" s="313" t="s">
        <v>92</v>
      </c>
      <c r="AA9" s="313" t="s">
        <v>92</v>
      </c>
      <c r="AB9" s="313" t="s">
        <v>92</v>
      </c>
      <c r="AC9" s="313" t="s">
        <v>92</v>
      </c>
      <c r="AD9" s="313" t="s">
        <v>92</v>
      </c>
      <c r="AE9" s="313" t="s">
        <v>92</v>
      </c>
      <c r="AF9" s="313" t="s">
        <v>92</v>
      </c>
      <c r="AG9" s="313" t="s">
        <v>92</v>
      </c>
      <c r="AH9" s="313" t="s">
        <v>92</v>
      </c>
      <c r="AI9" s="313" t="s">
        <v>92</v>
      </c>
      <c r="AJ9" s="313" t="s">
        <v>92</v>
      </c>
      <c r="AK9" s="313" t="s">
        <v>92</v>
      </c>
      <c r="AL9" s="313" t="s">
        <v>92</v>
      </c>
      <c r="AM9" s="313" t="s">
        <v>92</v>
      </c>
      <c r="AN9" s="313" t="s">
        <v>92</v>
      </c>
      <c r="AO9" s="313" t="s">
        <v>92</v>
      </c>
      <c r="AP9" s="313" t="s">
        <v>92</v>
      </c>
      <c r="AQ9" s="313" t="s">
        <v>92</v>
      </c>
      <c r="AR9" s="313" t="s">
        <v>92</v>
      </c>
      <c r="AS9" s="313" t="s">
        <v>92</v>
      </c>
      <c r="AT9" s="313" t="s">
        <v>92</v>
      </c>
      <c r="AU9" s="313" t="s">
        <v>92</v>
      </c>
      <c r="AV9" s="313" t="s">
        <v>92</v>
      </c>
      <c r="AW9" s="313" t="s">
        <v>92</v>
      </c>
      <c r="AX9" s="313" t="s">
        <v>92</v>
      </c>
      <c r="AY9" s="313" t="s">
        <v>92</v>
      </c>
      <c r="AZ9" s="313" t="s">
        <v>92</v>
      </c>
      <c r="BA9" s="313" t="s">
        <v>92</v>
      </c>
      <c r="BB9" s="313" t="s">
        <v>92</v>
      </c>
      <c r="BC9" s="313" t="s">
        <v>92</v>
      </c>
      <c r="BD9" s="313" t="s">
        <v>92</v>
      </c>
      <c r="BE9" s="313" t="s">
        <v>92</v>
      </c>
      <c r="BF9" s="313" t="s">
        <v>92</v>
      </c>
      <c r="BG9" s="313" t="s">
        <v>92</v>
      </c>
      <c r="BH9" s="313" t="s">
        <v>92</v>
      </c>
      <c r="BI9" s="313" t="s">
        <v>92</v>
      </c>
      <c r="BJ9" s="313" t="s">
        <v>92</v>
      </c>
      <c r="BK9" s="313" t="s">
        <v>93</v>
      </c>
      <c r="BL9" s="313" t="s">
        <v>93</v>
      </c>
      <c r="BM9" s="313" t="s">
        <v>94</v>
      </c>
      <c r="BN9" s="313" t="s">
        <v>94</v>
      </c>
      <c r="BO9" s="313" t="s">
        <v>95</v>
      </c>
      <c r="BP9" s="313" t="s">
        <v>95</v>
      </c>
      <c r="BQ9" s="313" t="s">
        <v>95</v>
      </c>
      <c r="BR9" s="313" t="s">
        <v>95</v>
      </c>
    </row>
    <row r="10" spans="1:70" s="313" customFormat="1" ht="12.75">
      <c r="A10" s="131"/>
      <c r="B10" s="131"/>
      <c r="C10" s="131"/>
      <c r="D10" s="131"/>
      <c r="E10" s="131"/>
      <c r="F10" s="131"/>
      <c r="G10" s="131"/>
      <c r="H10" s="131"/>
      <c r="I10" s="131"/>
      <c r="J10" s="131"/>
      <c r="K10" s="131" t="s">
        <v>96</v>
      </c>
      <c r="L10" s="313" t="s">
        <v>97</v>
      </c>
      <c r="M10" s="313" t="s">
        <v>98</v>
      </c>
      <c r="N10" s="313" t="s">
        <v>99</v>
      </c>
      <c r="O10" s="313" t="s">
        <v>100</v>
      </c>
      <c r="P10" s="313" t="s">
        <v>100</v>
      </c>
      <c r="Q10" s="313" t="s">
        <v>101</v>
      </c>
      <c r="R10" s="313" t="s">
        <v>291</v>
      </c>
      <c r="S10" s="313" t="s">
        <v>102</v>
      </c>
      <c r="T10" s="313" t="s">
        <v>103</v>
      </c>
      <c r="U10" s="313" t="s">
        <v>104</v>
      </c>
      <c r="V10" s="313" t="s">
        <v>105</v>
      </c>
      <c r="W10" s="313" t="s">
        <v>106</v>
      </c>
      <c r="Y10" s="313" t="s">
        <v>97</v>
      </c>
      <c r="Z10" s="313" t="s">
        <v>98</v>
      </c>
      <c r="AA10" s="313" t="s">
        <v>99</v>
      </c>
      <c r="AB10" s="313" t="s">
        <v>100</v>
      </c>
      <c r="AC10" s="313" t="s">
        <v>100</v>
      </c>
      <c r="AD10" s="313" t="s">
        <v>101</v>
      </c>
      <c r="AE10" s="313" t="s">
        <v>291</v>
      </c>
      <c r="AF10" s="313" t="s">
        <v>102</v>
      </c>
      <c r="AG10" s="313" t="s">
        <v>103</v>
      </c>
      <c r="AH10" s="313" t="s">
        <v>104</v>
      </c>
      <c r="AI10" s="313" t="s">
        <v>105</v>
      </c>
      <c r="AJ10" s="313" t="s">
        <v>106</v>
      </c>
      <c r="AK10" s="313" t="s">
        <v>97</v>
      </c>
      <c r="AL10" s="313" t="s">
        <v>98</v>
      </c>
      <c r="AM10" s="313" t="s">
        <v>99</v>
      </c>
      <c r="AN10" s="313" t="s">
        <v>100</v>
      </c>
      <c r="AO10" s="313" t="s">
        <v>100</v>
      </c>
      <c r="AP10" s="313" t="s">
        <v>101</v>
      </c>
      <c r="AQ10" s="313" t="s">
        <v>291</v>
      </c>
      <c r="AR10" s="313" t="s">
        <v>102</v>
      </c>
      <c r="AS10" s="313" t="s">
        <v>103</v>
      </c>
      <c r="AT10" s="313" t="s">
        <v>104</v>
      </c>
      <c r="AU10" s="313" t="s">
        <v>105</v>
      </c>
      <c r="AV10" s="313" t="s">
        <v>106</v>
      </c>
      <c r="AW10" s="313" t="s">
        <v>107</v>
      </c>
      <c r="AX10" s="313" t="s">
        <v>97</v>
      </c>
      <c r="AY10" s="313" t="s">
        <v>98</v>
      </c>
      <c r="AZ10" s="313" t="s">
        <v>99</v>
      </c>
      <c r="BA10" s="313" t="s">
        <v>100</v>
      </c>
      <c r="BB10" s="313" t="s">
        <v>100</v>
      </c>
      <c r="BC10" s="313" t="s">
        <v>101</v>
      </c>
      <c r="BD10" s="313" t="s">
        <v>291</v>
      </c>
      <c r="BE10" s="313" t="s">
        <v>102</v>
      </c>
      <c r="BF10" s="313" t="s">
        <v>103</v>
      </c>
      <c r="BG10" s="313" t="s">
        <v>104</v>
      </c>
      <c r="BH10" s="313" t="s">
        <v>105</v>
      </c>
      <c r="BI10" s="313" t="s">
        <v>106</v>
      </c>
      <c r="BK10" s="313" t="s">
        <v>107</v>
      </c>
      <c r="BL10" s="313" t="s">
        <v>107</v>
      </c>
      <c r="BM10" s="313" t="s">
        <v>107</v>
      </c>
      <c r="BN10" s="313" t="s">
        <v>107</v>
      </c>
      <c r="BO10" s="313" t="s">
        <v>292</v>
      </c>
      <c r="BP10" s="313" t="s">
        <v>292</v>
      </c>
      <c r="BQ10" s="313" t="s">
        <v>326</v>
      </c>
      <c r="BR10" s="313" t="s">
        <v>326</v>
      </c>
    </row>
    <row r="11" spans="1:70" s="313" customFormat="1" ht="12.75">
      <c r="A11" s="131" t="s">
        <v>108</v>
      </c>
      <c r="B11" s="131" t="s">
        <v>109</v>
      </c>
      <c r="C11" s="131" t="s">
        <v>110</v>
      </c>
      <c r="D11" s="131" t="s">
        <v>111</v>
      </c>
      <c r="E11" s="131" t="s">
        <v>112</v>
      </c>
      <c r="F11" s="131" t="s">
        <v>113</v>
      </c>
      <c r="G11" s="131" t="s">
        <v>113</v>
      </c>
      <c r="H11" s="131"/>
      <c r="I11" s="131"/>
      <c r="J11" s="131"/>
      <c r="K11" s="131" t="s">
        <v>114</v>
      </c>
      <c r="L11" s="313" t="s">
        <v>115</v>
      </c>
      <c r="M11" s="313" t="s">
        <v>115</v>
      </c>
      <c r="N11" s="313" t="s">
        <v>116</v>
      </c>
      <c r="O11" s="313" t="s">
        <v>117</v>
      </c>
      <c r="P11" s="313" t="s">
        <v>324</v>
      </c>
      <c r="Q11" s="313" t="s">
        <v>118</v>
      </c>
      <c r="R11" s="313" t="s">
        <v>119</v>
      </c>
      <c r="S11" s="313" t="s">
        <v>120</v>
      </c>
      <c r="T11" s="313" t="s">
        <v>121</v>
      </c>
      <c r="U11" s="313" t="s">
        <v>122</v>
      </c>
      <c r="V11" s="313" t="s">
        <v>123</v>
      </c>
      <c r="W11" s="313" t="s">
        <v>124</v>
      </c>
      <c r="X11" s="313" t="s">
        <v>292</v>
      </c>
      <c r="Y11" s="313" t="s">
        <v>115</v>
      </c>
      <c r="Z11" s="313" t="s">
        <v>115</v>
      </c>
      <c r="AA11" s="313" t="s">
        <v>116</v>
      </c>
      <c r="AB11" s="313" t="s">
        <v>117</v>
      </c>
      <c r="AC11" s="313" t="s">
        <v>324</v>
      </c>
      <c r="AD11" s="313" t="s">
        <v>118</v>
      </c>
      <c r="AE11" s="313" t="s">
        <v>119</v>
      </c>
      <c r="AF11" s="313" t="s">
        <v>120</v>
      </c>
      <c r="AG11" s="313" t="s">
        <v>121</v>
      </c>
      <c r="AH11" s="313" t="s">
        <v>122</v>
      </c>
      <c r="AI11" s="313" t="s">
        <v>123</v>
      </c>
      <c r="AJ11" s="313" t="s">
        <v>124</v>
      </c>
      <c r="AK11" s="313" t="s">
        <v>115</v>
      </c>
      <c r="AL11" s="313" t="s">
        <v>115</v>
      </c>
      <c r="AM11" s="313" t="s">
        <v>116</v>
      </c>
      <c r="AN11" s="313" t="s">
        <v>117</v>
      </c>
      <c r="AO11" s="313" t="s">
        <v>324</v>
      </c>
      <c r="AP11" s="313" t="s">
        <v>118</v>
      </c>
      <c r="AQ11" s="313" t="s">
        <v>119</v>
      </c>
      <c r="AR11" s="313" t="s">
        <v>120</v>
      </c>
      <c r="AS11" s="313" t="s">
        <v>121</v>
      </c>
      <c r="AT11" s="313" t="s">
        <v>122</v>
      </c>
      <c r="AU11" s="313" t="s">
        <v>123</v>
      </c>
      <c r="AV11" s="313" t="s">
        <v>124</v>
      </c>
      <c r="AW11" s="313" t="s">
        <v>292</v>
      </c>
      <c r="AX11" s="313" t="s">
        <v>115</v>
      </c>
      <c r="AY11" s="313" t="s">
        <v>115</v>
      </c>
      <c r="AZ11" s="313" t="s">
        <v>116</v>
      </c>
      <c r="BA11" s="313" t="s">
        <v>117</v>
      </c>
      <c r="BB11" s="313" t="s">
        <v>324</v>
      </c>
      <c r="BC11" s="313" t="s">
        <v>118</v>
      </c>
      <c r="BD11" s="313" t="s">
        <v>119</v>
      </c>
      <c r="BE11" s="313" t="s">
        <v>120</v>
      </c>
      <c r="BF11" s="313" t="s">
        <v>121</v>
      </c>
      <c r="BG11" s="313" t="s">
        <v>122</v>
      </c>
      <c r="BH11" s="313" t="s">
        <v>123</v>
      </c>
      <c r="BI11" s="313" t="s">
        <v>124</v>
      </c>
      <c r="BJ11" s="313" t="s">
        <v>292</v>
      </c>
      <c r="BK11" s="313" t="s">
        <v>334</v>
      </c>
      <c r="BL11" s="313" t="s">
        <v>125</v>
      </c>
      <c r="BM11" s="313" t="s">
        <v>334</v>
      </c>
      <c r="BN11" s="313" t="s">
        <v>125</v>
      </c>
      <c r="BO11" s="313" t="s">
        <v>326</v>
      </c>
      <c r="BP11" s="313" t="s">
        <v>219</v>
      </c>
      <c r="BQ11" s="313" t="s">
        <v>60</v>
      </c>
      <c r="BR11" s="313" t="s">
        <v>61</v>
      </c>
    </row>
    <row r="12" spans="1:70" s="313" customFormat="1" ht="13.5" thickBot="1">
      <c r="A12" s="739" t="s">
        <v>220</v>
      </c>
      <c r="B12" s="739" t="s">
        <v>221</v>
      </c>
      <c r="C12" s="739" t="s">
        <v>222</v>
      </c>
      <c r="D12" s="739" t="s">
        <v>223</v>
      </c>
      <c r="E12" s="739" t="s">
        <v>224</v>
      </c>
      <c r="F12" s="739" t="s">
        <v>225</v>
      </c>
      <c r="G12" s="739" t="s">
        <v>52</v>
      </c>
      <c r="H12" s="739" t="s">
        <v>53</v>
      </c>
      <c r="I12" s="739" t="s">
        <v>54</v>
      </c>
      <c r="J12" s="739" t="s">
        <v>55</v>
      </c>
      <c r="K12" s="739" t="s">
        <v>337</v>
      </c>
      <c r="L12" s="740" t="s">
        <v>60</v>
      </c>
      <c r="M12" s="740" t="s">
        <v>60</v>
      </c>
      <c r="N12" s="740" t="s">
        <v>60</v>
      </c>
      <c r="O12" s="740" t="s">
        <v>60</v>
      </c>
      <c r="P12" s="740" t="s">
        <v>60</v>
      </c>
      <c r="Q12" s="740" t="s">
        <v>60</v>
      </c>
      <c r="R12" s="740" t="s">
        <v>60</v>
      </c>
      <c r="S12" s="740" t="s">
        <v>60</v>
      </c>
      <c r="T12" s="740" t="s">
        <v>60</v>
      </c>
      <c r="U12" s="740" t="s">
        <v>60</v>
      </c>
      <c r="V12" s="740" t="s">
        <v>60</v>
      </c>
      <c r="W12" s="740" t="s">
        <v>60</v>
      </c>
      <c r="X12" s="740" t="s">
        <v>60</v>
      </c>
      <c r="Y12" s="740" t="s">
        <v>61</v>
      </c>
      <c r="Z12" s="740" t="s">
        <v>61</v>
      </c>
      <c r="AA12" s="740" t="s">
        <v>61</v>
      </c>
      <c r="AB12" s="740" t="s">
        <v>61</v>
      </c>
      <c r="AC12" s="740" t="s">
        <v>61</v>
      </c>
      <c r="AD12" s="740" t="s">
        <v>61</v>
      </c>
      <c r="AE12" s="740" t="s">
        <v>61</v>
      </c>
      <c r="AF12" s="740" t="s">
        <v>61</v>
      </c>
      <c r="AG12" s="740" t="s">
        <v>61</v>
      </c>
      <c r="AH12" s="740" t="s">
        <v>61</v>
      </c>
      <c r="AI12" s="740" t="s">
        <v>61</v>
      </c>
      <c r="AJ12" s="740" t="s">
        <v>61</v>
      </c>
      <c r="AK12" s="740" t="s">
        <v>61</v>
      </c>
      <c r="AL12" s="740" t="s">
        <v>61</v>
      </c>
      <c r="AM12" s="740" t="s">
        <v>61</v>
      </c>
      <c r="AN12" s="740" t="s">
        <v>61</v>
      </c>
      <c r="AO12" s="740" t="s">
        <v>61</v>
      </c>
      <c r="AP12" s="740" t="s">
        <v>61</v>
      </c>
      <c r="AQ12" s="740" t="s">
        <v>61</v>
      </c>
      <c r="AR12" s="740" t="s">
        <v>61</v>
      </c>
      <c r="AS12" s="740" t="s">
        <v>61</v>
      </c>
      <c r="AT12" s="740" t="s">
        <v>61</v>
      </c>
      <c r="AU12" s="740" t="s">
        <v>61</v>
      </c>
      <c r="AV12" s="740" t="s">
        <v>61</v>
      </c>
      <c r="AW12" s="740" t="s">
        <v>61</v>
      </c>
      <c r="AX12" s="740" t="s">
        <v>325</v>
      </c>
      <c r="AY12" s="740" t="s">
        <v>325</v>
      </c>
      <c r="AZ12" s="740" t="s">
        <v>325</v>
      </c>
      <c r="BA12" s="740" t="s">
        <v>325</v>
      </c>
      <c r="BB12" s="740" t="s">
        <v>325</v>
      </c>
      <c r="BC12" s="740" t="s">
        <v>325</v>
      </c>
      <c r="BD12" s="740" t="s">
        <v>325</v>
      </c>
      <c r="BE12" s="740" t="s">
        <v>325</v>
      </c>
      <c r="BF12" s="740" t="s">
        <v>325</v>
      </c>
      <c r="BG12" s="740" t="s">
        <v>325</v>
      </c>
      <c r="BH12" s="740" t="s">
        <v>325</v>
      </c>
      <c r="BI12" s="740" t="s">
        <v>325</v>
      </c>
      <c r="BJ12" s="740" t="s">
        <v>325</v>
      </c>
      <c r="BK12" s="740" t="s">
        <v>56</v>
      </c>
      <c r="BL12" s="740" t="s">
        <v>57</v>
      </c>
      <c r="BM12" s="740" t="s">
        <v>58</v>
      </c>
      <c r="BN12" s="740" t="s">
        <v>327</v>
      </c>
      <c r="BO12" s="740" t="s">
        <v>62</v>
      </c>
      <c r="BP12" s="740" t="s">
        <v>62</v>
      </c>
      <c r="BQ12" s="740" t="s">
        <v>62</v>
      </c>
      <c r="BR12" s="740" t="s">
        <v>62</v>
      </c>
    </row>
    <row r="13" spans="1:70" s="558" customFormat="1" ht="12.75">
      <c r="A13" s="862"/>
      <c r="B13" s="862"/>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2"/>
      <c r="AP13" s="862"/>
      <c r="AQ13" s="862"/>
      <c r="AR13" s="862"/>
      <c r="AS13" s="862"/>
      <c r="AT13" s="862"/>
      <c r="AU13" s="862"/>
      <c r="AV13" s="862"/>
      <c r="AW13" s="862"/>
      <c r="AX13" s="862"/>
      <c r="AY13" s="862"/>
      <c r="AZ13" s="862"/>
      <c r="BA13" s="862"/>
      <c r="BB13" s="862"/>
      <c r="BC13" s="862"/>
      <c r="BD13" s="862"/>
      <c r="BE13" s="862"/>
      <c r="BF13" s="862"/>
      <c r="BG13" s="862"/>
      <c r="BH13" s="862"/>
      <c r="BI13" s="862"/>
      <c r="BJ13" s="862"/>
      <c r="BK13" s="862"/>
      <c r="BL13" s="862"/>
      <c r="BM13" s="862"/>
      <c r="BN13" s="862"/>
      <c r="BO13" s="862"/>
      <c r="BP13" s="862"/>
      <c r="BQ13" s="862"/>
      <c r="BR13" s="862"/>
    </row>
    <row r="14" spans="1:70" s="558" customFormat="1" ht="12.75">
      <c r="A14" s="862"/>
      <c r="B14" s="862"/>
      <c r="C14" s="862"/>
      <c r="D14" s="862"/>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2"/>
      <c r="BA14" s="862"/>
      <c r="BB14" s="862"/>
      <c r="BC14" s="862"/>
      <c r="BD14" s="862"/>
      <c r="BE14" s="862"/>
      <c r="BF14" s="862"/>
      <c r="BG14" s="862"/>
      <c r="BH14" s="862"/>
      <c r="BI14" s="862"/>
      <c r="BJ14" s="862"/>
      <c r="BK14" s="862"/>
      <c r="BL14" s="862"/>
      <c r="BM14" s="862"/>
      <c r="BN14" s="862"/>
      <c r="BO14" s="862"/>
      <c r="BP14" s="862"/>
      <c r="BQ14" s="862"/>
      <c r="BR14" s="862"/>
    </row>
    <row r="15" spans="1:70" s="558" customFormat="1" ht="12.75">
      <c r="A15" s="862"/>
      <c r="B15" s="862"/>
      <c r="C15" s="862"/>
      <c r="D15" s="862"/>
      <c r="E15" s="862"/>
      <c r="F15" s="865"/>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2"/>
      <c r="AO15" s="862"/>
      <c r="AP15" s="862"/>
      <c r="AQ15" s="862"/>
      <c r="AR15" s="862"/>
      <c r="AS15" s="862"/>
      <c r="AT15" s="862"/>
      <c r="AU15" s="862"/>
      <c r="AV15" s="862"/>
      <c r="AW15" s="862"/>
      <c r="AX15" s="862"/>
      <c r="AY15" s="862"/>
      <c r="AZ15" s="862"/>
      <c r="BA15" s="862"/>
      <c r="BB15" s="862"/>
      <c r="BC15" s="862"/>
      <c r="BD15" s="862"/>
      <c r="BE15" s="862"/>
      <c r="BF15" s="862"/>
      <c r="BG15" s="862"/>
      <c r="BH15" s="862"/>
      <c r="BI15" s="862"/>
      <c r="BJ15" s="862"/>
      <c r="BK15" s="862"/>
      <c r="BL15" s="862"/>
      <c r="BM15" s="862"/>
      <c r="BN15" s="862"/>
      <c r="BO15" s="862"/>
      <c r="BP15" s="862"/>
      <c r="BQ15" s="862"/>
      <c r="BR15" s="862"/>
    </row>
    <row r="16" spans="1:70" s="558" customFormat="1" ht="12.75">
      <c r="A16" s="862"/>
      <c r="B16" s="862"/>
      <c r="C16" s="862"/>
      <c r="D16" s="862"/>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62"/>
      <c r="AJ16" s="862"/>
      <c r="AK16" s="862"/>
      <c r="AL16" s="862"/>
      <c r="AM16" s="862"/>
      <c r="AN16" s="862"/>
      <c r="AO16" s="862"/>
      <c r="AP16" s="862"/>
      <c r="AQ16" s="862"/>
      <c r="AR16" s="862"/>
      <c r="AS16" s="862"/>
      <c r="AT16" s="862"/>
      <c r="AU16" s="862"/>
      <c r="AV16" s="862"/>
      <c r="AW16" s="862"/>
      <c r="AX16" s="862"/>
      <c r="AY16" s="862"/>
      <c r="AZ16" s="862"/>
      <c r="BA16" s="862"/>
      <c r="BB16" s="862"/>
      <c r="BC16" s="862"/>
      <c r="BD16" s="862"/>
      <c r="BE16" s="862"/>
      <c r="BF16" s="862"/>
      <c r="BG16" s="862"/>
      <c r="BH16" s="862"/>
      <c r="BI16" s="862"/>
      <c r="BJ16" s="862"/>
      <c r="BK16" s="862"/>
      <c r="BL16" s="862"/>
      <c r="BM16" s="862"/>
      <c r="BN16" s="862"/>
      <c r="BO16" s="862"/>
      <c r="BP16" s="862"/>
      <c r="BQ16" s="862"/>
      <c r="BR16" s="862"/>
    </row>
    <row r="17" spans="1:71" s="313" customFormat="1" ht="12.75">
      <c r="A17" s="741" t="s">
        <v>231</v>
      </c>
      <c r="B17" s="741"/>
      <c r="C17" s="741"/>
      <c r="D17" s="741"/>
      <c r="E17" s="741"/>
      <c r="F17" s="741"/>
      <c r="G17" s="741"/>
      <c r="H17" s="741"/>
      <c r="I17" s="741"/>
      <c r="J17" s="741"/>
      <c r="K17" s="741"/>
      <c r="L17" s="742" t="e">
        <f>AVERAGE(L13:L16)</f>
        <v>#DIV/0!</v>
      </c>
      <c r="M17" s="742" t="e">
        <f aca="true" t="shared" si="0" ref="M17:BR17">AVERAGE(M13:M16)</f>
        <v>#DIV/0!</v>
      </c>
      <c r="N17" s="742" t="e">
        <f t="shared" si="0"/>
        <v>#DIV/0!</v>
      </c>
      <c r="O17" s="742" t="e">
        <f t="shared" si="0"/>
        <v>#DIV/0!</v>
      </c>
      <c r="P17" s="742" t="e">
        <f t="shared" si="0"/>
        <v>#DIV/0!</v>
      </c>
      <c r="Q17" s="742" t="e">
        <f t="shared" si="0"/>
        <v>#DIV/0!</v>
      </c>
      <c r="R17" s="742" t="e">
        <f t="shared" si="0"/>
        <v>#DIV/0!</v>
      </c>
      <c r="S17" s="742" t="e">
        <f t="shared" si="0"/>
        <v>#DIV/0!</v>
      </c>
      <c r="T17" s="742" t="e">
        <f t="shared" si="0"/>
        <v>#DIV/0!</v>
      </c>
      <c r="U17" s="742" t="e">
        <f t="shared" si="0"/>
        <v>#DIV/0!</v>
      </c>
      <c r="V17" s="742" t="e">
        <f t="shared" si="0"/>
        <v>#DIV/0!</v>
      </c>
      <c r="W17" s="742" t="e">
        <f t="shared" si="0"/>
        <v>#DIV/0!</v>
      </c>
      <c r="X17" s="742" t="e">
        <f t="shared" si="0"/>
        <v>#DIV/0!</v>
      </c>
      <c r="Y17" s="742" t="e">
        <f t="shared" si="0"/>
        <v>#DIV/0!</v>
      </c>
      <c r="Z17" s="742" t="e">
        <f t="shared" si="0"/>
        <v>#DIV/0!</v>
      </c>
      <c r="AA17" s="742" t="e">
        <f t="shared" si="0"/>
        <v>#DIV/0!</v>
      </c>
      <c r="AB17" s="742" t="e">
        <f t="shared" si="0"/>
        <v>#DIV/0!</v>
      </c>
      <c r="AC17" s="742" t="e">
        <f t="shared" si="0"/>
        <v>#DIV/0!</v>
      </c>
      <c r="AD17" s="742" t="e">
        <f t="shared" si="0"/>
        <v>#DIV/0!</v>
      </c>
      <c r="AE17" s="742" t="e">
        <f t="shared" si="0"/>
        <v>#DIV/0!</v>
      </c>
      <c r="AF17" s="742" t="e">
        <f t="shared" si="0"/>
        <v>#DIV/0!</v>
      </c>
      <c r="AG17" s="742" t="e">
        <f t="shared" si="0"/>
        <v>#DIV/0!</v>
      </c>
      <c r="AH17" s="742" t="e">
        <f t="shared" si="0"/>
        <v>#DIV/0!</v>
      </c>
      <c r="AI17" s="742" t="e">
        <f t="shared" si="0"/>
        <v>#DIV/0!</v>
      </c>
      <c r="AJ17" s="742" t="e">
        <f t="shared" si="0"/>
        <v>#DIV/0!</v>
      </c>
      <c r="AK17" s="742" t="e">
        <f t="shared" si="0"/>
        <v>#DIV/0!</v>
      </c>
      <c r="AL17" s="742" t="e">
        <f t="shared" si="0"/>
        <v>#DIV/0!</v>
      </c>
      <c r="AM17" s="742" t="e">
        <f t="shared" si="0"/>
        <v>#DIV/0!</v>
      </c>
      <c r="AN17" s="742" t="e">
        <f t="shared" si="0"/>
        <v>#DIV/0!</v>
      </c>
      <c r="AO17" s="742" t="e">
        <f t="shared" si="0"/>
        <v>#DIV/0!</v>
      </c>
      <c r="AP17" s="742" t="e">
        <f t="shared" si="0"/>
        <v>#DIV/0!</v>
      </c>
      <c r="AQ17" s="742" t="e">
        <f t="shared" si="0"/>
        <v>#DIV/0!</v>
      </c>
      <c r="AR17" s="742" t="e">
        <f t="shared" si="0"/>
        <v>#DIV/0!</v>
      </c>
      <c r="AS17" s="742" t="e">
        <f t="shared" si="0"/>
        <v>#DIV/0!</v>
      </c>
      <c r="AT17" s="742" t="e">
        <f t="shared" si="0"/>
        <v>#DIV/0!</v>
      </c>
      <c r="AU17" s="742" t="e">
        <f t="shared" si="0"/>
        <v>#DIV/0!</v>
      </c>
      <c r="AV17" s="742" t="e">
        <f t="shared" si="0"/>
        <v>#DIV/0!</v>
      </c>
      <c r="AW17" s="742" t="e">
        <f t="shared" si="0"/>
        <v>#DIV/0!</v>
      </c>
      <c r="AX17" s="742" t="e">
        <f t="shared" si="0"/>
        <v>#DIV/0!</v>
      </c>
      <c r="AY17" s="742" t="e">
        <f t="shared" si="0"/>
        <v>#DIV/0!</v>
      </c>
      <c r="AZ17" s="742" t="e">
        <f t="shared" si="0"/>
        <v>#DIV/0!</v>
      </c>
      <c r="BA17" s="742" t="e">
        <f t="shared" si="0"/>
        <v>#DIV/0!</v>
      </c>
      <c r="BB17" s="742" t="e">
        <f t="shared" si="0"/>
        <v>#DIV/0!</v>
      </c>
      <c r="BC17" s="742" t="e">
        <f t="shared" si="0"/>
        <v>#DIV/0!</v>
      </c>
      <c r="BD17" s="742" t="e">
        <f t="shared" si="0"/>
        <v>#DIV/0!</v>
      </c>
      <c r="BE17" s="742" t="e">
        <f t="shared" si="0"/>
        <v>#DIV/0!</v>
      </c>
      <c r="BF17" s="742" t="e">
        <f t="shared" si="0"/>
        <v>#DIV/0!</v>
      </c>
      <c r="BG17" s="742" t="e">
        <f t="shared" si="0"/>
        <v>#DIV/0!</v>
      </c>
      <c r="BH17" s="742" t="e">
        <f t="shared" si="0"/>
        <v>#DIV/0!</v>
      </c>
      <c r="BI17" s="742" t="e">
        <f t="shared" si="0"/>
        <v>#DIV/0!</v>
      </c>
      <c r="BJ17" s="742" t="e">
        <f t="shared" si="0"/>
        <v>#DIV/0!</v>
      </c>
      <c r="BK17" s="742" t="e">
        <f t="shared" si="0"/>
        <v>#DIV/0!</v>
      </c>
      <c r="BL17" s="742" t="e">
        <f t="shared" si="0"/>
        <v>#DIV/0!</v>
      </c>
      <c r="BM17" s="742" t="e">
        <f t="shared" si="0"/>
        <v>#DIV/0!</v>
      </c>
      <c r="BN17" s="742" t="e">
        <f t="shared" si="0"/>
        <v>#DIV/0!</v>
      </c>
      <c r="BO17" s="742" t="e">
        <f t="shared" si="0"/>
        <v>#DIV/0!</v>
      </c>
      <c r="BP17" s="742" t="e">
        <f t="shared" si="0"/>
        <v>#DIV/0!</v>
      </c>
      <c r="BQ17" s="742" t="e">
        <f t="shared" si="0"/>
        <v>#DIV/0!</v>
      </c>
      <c r="BR17" s="742" t="e">
        <f t="shared" si="0"/>
        <v>#DIV/0!</v>
      </c>
      <c r="BS17" s="743"/>
    </row>
    <row r="18" spans="1:72" s="313" customFormat="1" ht="12.75">
      <c r="A18" s="315" t="s">
        <v>392</v>
      </c>
      <c r="B18" s="315" t="s">
        <v>0</v>
      </c>
      <c r="C18" s="131"/>
      <c r="D18" s="131"/>
      <c r="E18" s="131"/>
      <c r="F18" s="131"/>
      <c r="G18" s="131"/>
      <c r="H18" s="131"/>
      <c r="I18" s="131"/>
      <c r="J18" s="131"/>
      <c r="K18" s="131"/>
      <c r="L18" s="131"/>
      <c r="BT18" s="743"/>
    </row>
    <row r="19" spans="1:70" s="558" customFormat="1" ht="12.75">
      <c r="A19" s="862"/>
      <c r="B19" s="862"/>
      <c r="C19" s="862"/>
      <c r="D19" s="862"/>
      <c r="E19" s="862"/>
      <c r="F19" s="865"/>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2"/>
      <c r="AM19" s="862"/>
      <c r="AN19" s="862"/>
      <c r="AO19" s="862"/>
      <c r="AP19" s="862"/>
      <c r="AQ19" s="862"/>
      <c r="AR19" s="862"/>
      <c r="AS19" s="862"/>
      <c r="AT19" s="862"/>
      <c r="AU19" s="862"/>
      <c r="AV19" s="862"/>
      <c r="AW19" s="862"/>
      <c r="AX19" s="862"/>
      <c r="AY19" s="862"/>
      <c r="AZ19" s="862"/>
      <c r="BA19" s="862"/>
      <c r="BB19" s="862"/>
      <c r="BC19" s="862"/>
      <c r="BD19" s="862"/>
      <c r="BE19" s="862"/>
      <c r="BF19" s="862"/>
      <c r="BG19" s="862"/>
      <c r="BH19" s="862"/>
      <c r="BI19" s="862"/>
      <c r="BJ19" s="862"/>
      <c r="BK19" s="862"/>
      <c r="BL19" s="862"/>
      <c r="BM19" s="862"/>
      <c r="BN19" s="862"/>
      <c r="BO19" s="862"/>
      <c r="BP19" s="862"/>
      <c r="BQ19" s="862"/>
      <c r="BR19" s="862"/>
    </row>
    <row r="20" spans="1:11" s="313" customFormat="1" ht="12.75">
      <c r="A20" s="131"/>
      <c r="B20" s="131"/>
      <c r="C20" s="131"/>
      <c r="D20" s="131"/>
      <c r="E20" s="131"/>
      <c r="F20" s="131"/>
      <c r="G20" s="131"/>
      <c r="H20" s="131"/>
      <c r="I20" s="131"/>
      <c r="J20" s="131"/>
      <c r="K20" s="131"/>
    </row>
    <row r="21" spans="1:11" s="313" customFormat="1" ht="12.75">
      <c r="A21" s="737"/>
      <c r="B21" s="131"/>
      <c r="C21" s="131"/>
      <c r="D21" s="131"/>
      <c r="E21" s="131"/>
      <c r="F21" s="131"/>
      <c r="G21" s="131"/>
      <c r="H21" s="131"/>
      <c r="I21" s="131"/>
      <c r="J21" s="131"/>
      <c r="K21" s="131"/>
    </row>
    <row r="22" spans="1:11" s="313" customFormat="1" ht="12.75">
      <c r="A22" s="131"/>
      <c r="B22" s="131"/>
      <c r="C22" s="131"/>
      <c r="D22" s="131"/>
      <c r="E22" s="131"/>
      <c r="F22" s="744"/>
      <c r="G22" s="744"/>
      <c r="H22" s="131"/>
      <c r="I22" s="131"/>
      <c r="J22" s="131"/>
      <c r="K22" s="131"/>
    </row>
    <row r="23" spans="1:11" s="313" customFormat="1" ht="12.75">
      <c r="A23" s="315" t="s">
        <v>393</v>
      </c>
      <c r="B23" s="315" t="s">
        <v>578</v>
      </c>
      <c r="C23" s="131"/>
      <c r="D23" s="131"/>
      <c r="E23" s="131"/>
      <c r="F23" s="744"/>
      <c r="G23" s="744"/>
      <c r="H23" s="131"/>
      <c r="I23" s="131"/>
      <c r="J23" s="131"/>
      <c r="K23" s="131"/>
    </row>
    <row r="24" spans="1:70" s="313" customFormat="1" ht="12.75">
      <c r="A24" s="131"/>
      <c r="B24" s="131"/>
      <c r="C24" s="131"/>
      <c r="D24" s="131"/>
      <c r="E24" s="131"/>
      <c r="F24" s="131"/>
      <c r="G24" s="131"/>
      <c r="H24" s="131"/>
      <c r="I24" s="131"/>
      <c r="J24" s="131"/>
      <c r="K24" s="131" t="s">
        <v>96</v>
      </c>
      <c r="L24" s="313" t="s">
        <v>97</v>
      </c>
      <c r="M24" s="313" t="s">
        <v>98</v>
      </c>
      <c r="N24" s="313" t="s">
        <v>99</v>
      </c>
      <c r="O24" s="313" t="s">
        <v>100</v>
      </c>
      <c r="P24" s="313" t="s">
        <v>100</v>
      </c>
      <c r="Q24" s="313" t="s">
        <v>101</v>
      </c>
      <c r="R24" s="313" t="s">
        <v>291</v>
      </c>
      <c r="S24" s="313" t="s">
        <v>102</v>
      </c>
      <c r="T24" s="313" t="s">
        <v>103</v>
      </c>
      <c r="U24" s="313" t="s">
        <v>104</v>
      </c>
      <c r="V24" s="313" t="s">
        <v>105</v>
      </c>
      <c r="W24" s="313" t="s">
        <v>106</v>
      </c>
      <c r="Y24" s="313" t="s">
        <v>97</v>
      </c>
      <c r="Z24" s="313" t="s">
        <v>98</v>
      </c>
      <c r="AA24" s="313" t="s">
        <v>99</v>
      </c>
      <c r="AB24" s="313" t="s">
        <v>100</v>
      </c>
      <c r="AC24" s="313" t="s">
        <v>100</v>
      </c>
      <c r="AD24" s="313" t="s">
        <v>101</v>
      </c>
      <c r="AE24" s="313" t="s">
        <v>291</v>
      </c>
      <c r="AF24" s="313" t="s">
        <v>102</v>
      </c>
      <c r="AG24" s="313" t="s">
        <v>103</v>
      </c>
      <c r="AH24" s="313" t="s">
        <v>104</v>
      </c>
      <c r="AI24" s="313" t="s">
        <v>105</v>
      </c>
      <c r="AJ24" s="313" t="s">
        <v>106</v>
      </c>
      <c r="AK24" s="313" t="s">
        <v>97</v>
      </c>
      <c r="AL24" s="313" t="s">
        <v>98</v>
      </c>
      <c r="AM24" s="313" t="s">
        <v>99</v>
      </c>
      <c r="AN24" s="313" t="s">
        <v>100</v>
      </c>
      <c r="AO24" s="313" t="s">
        <v>100</v>
      </c>
      <c r="AP24" s="313" t="s">
        <v>101</v>
      </c>
      <c r="AQ24" s="313" t="s">
        <v>291</v>
      </c>
      <c r="AR24" s="313" t="s">
        <v>102</v>
      </c>
      <c r="AS24" s="313" t="s">
        <v>103</v>
      </c>
      <c r="AT24" s="313" t="s">
        <v>104</v>
      </c>
      <c r="AU24" s="313" t="s">
        <v>105</v>
      </c>
      <c r="AV24" s="313" t="s">
        <v>106</v>
      </c>
      <c r="AW24" s="313" t="s">
        <v>107</v>
      </c>
      <c r="AX24" s="313" t="s">
        <v>97</v>
      </c>
      <c r="AY24" s="313" t="s">
        <v>98</v>
      </c>
      <c r="AZ24" s="313" t="s">
        <v>99</v>
      </c>
      <c r="BA24" s="313" t="s">
        <v>100</v>
      </c>
      <c r="BB24" s="313" t="s">
        <v>100</v>
      </c>
      <c r="BC24" s="313" t="s">
        <v>101</v>
      </c>
      <c r="BD24" s="313" t="s">
        <v>291</v>
      </c>
      <c r="BE24" s="313" t="s">
        <v>102</v>
      </c>
      <c r="BF24" s="313" t="s">
        <v>103</v>
      </c>
      <c r="BG24" s="313" t="s">
        <v>104</v>
      </c>
      <c r="BH24" s="313" t="s">
        <v>105</v>
      </c>
      <c r="BI24" s="313" t="s">
        <v>106</v>
      </c>
      <c r="BK24" s="313" t="s">
        <v>107</v>
      </c>
      <c r="BL24" s="313" t="s">
        <v>107</v>
      </c>
      <c r="BM24" s="313" t="s">
        <v>107</v>
      </c>
      <c r="BN24" s="313" t="s">
        <v>107</v>
      </c>
      <c r="BO24" s="313" t="s">
        <v>292</v>
      </c>
      <c r="BP24" s="313" t="s">
        <v>292</v>
      </c>
      <c r="BQ24" s="313" t="s">
        <v>326</v>
      </c>
      <c r="BR24" s="313" t="s">
        <v>326</v>
      </c>
    </row>
    <row r="25" spans="1:70" s="313" customFormat="1" ht="12.75">
      <c r="A25" s="131" t="s">
        <v>108</v>
      </c>
      <c r="B25" s="131" t="s">
        <v>109</v>
      </c>
      <c r="C25" s="131" t="s">
        <v>110</v>
      </c>
      <c r="D25" s="131" t="s">
        <v>111</v>
      </c>
      <c r="E25" s="131" t="s">
        <v>112</v>
      </c>
      <c r="F25" s="131" t="s">
        <v>113</v>
      </c>
      <c r="G25" s="131" t="s">
        <v>113</v>
      </c>
      <c r="H25" s="131"/>
      <c r="I25" s="131"/>
      <c r="J25" s="131"/>
      <c r="K25" s="131" t="s">
        <v>114</v>
      </c>
      <c r="L25" s="313" t="s">
        <v>115</v>
      </c>
      <c r="M25" s="313" t="s">
        <v>115</v>
      </c>
      <c r="N25" s="313" t="s">
        <v>116</v>
      </c>
      <c r="O25" s="313" t="s">
        <v>117</v>
      </c>
      <c r="P25" s="313" t="s">
        <v>324</v>
      </c>
      <c r="Q25" s="313" t="s">
        <v>118</v>
      </c>
      <c r="R25" s="313" t="s">
        <v>119</v>
      </c>
      <c r="S25" s="313" t="s">
        <v>120</v>
      </c>
      <c r="T25" s="313" t="s">
        <v>121</v>
      </c>
      <c r="U25" s="313" t="s">
        <v>122</v>
      </c>
      <c r="V25" s="313" t="s">
        <v>123</v>
      </c>
      <c r="W25" s="313" t="s">
        <v>124</v>
      </c>
      <c r="X25" s="313" t="s">
        <v>292</v>
      </c>
      <c r="Y25" s="313" t="s">
        <v>115</v>
      </c>
      <c r="Z25" s="313" t="s">
        <v>115</v>
      </c>
      <c r="AA25" s="313" t="s">
        <v>116</v>
      </c>
      <c r="AB25" s="313" t="s">
        <v>117</v>
      </c>
      <c r="AC25" s="313" t="s">
        <v>324</v>
      </c>
      <c r="AD25" s="313" t="s">
        <v>118</v>
      </c>
      <c r="AE25" s="313" t="s">
        <v>119</v>
      </c>
      <c r="AF25" s="313" t="s">
        <v>120</v>
      </c>
      <c r="AG25" s="313" t="s">
        <v>121</v>
      </c>
      <c r="AH25" s="313" t="s">
        <v>122</v>
      </c>
      <c r="AI25" s="313" t="s">
        <v>123</v>
      </c>
      <c r="AJ25" s="313" t="s">
        <v>124</v>
      </c>
      <c r="AK25" s="313" t="s">
        <v>115</v>
      </c>
      <c r="AL25" s="313" t="s">
        <v>115</v>
      </c>
      <c r="AM25" s="313" t="s">
        <v>116</v>
      </c>
      <c r="AN25" s="313" t="s">
        <v>117</v>
      </c>
      <c r="AO25" s="313" t="s">
        <v>324</v>
      </c>
      <c r="AP25" s="313" t="s">
        <v>118</v>
      </c>
      <c r="AQ25" s="313" t="s">
        <v>119</v>
      </c>
      <c r="AR25" s="313" t="s">
        <v>120</v>
      </c>
      <c r="AS25" s="313" t="s">
        <v>121</v>
      </c>
      <c r="AT25" s="313" t="s">
        <v>122</v>
      </c>
      <c r="AU25" s="313" t="s">
        <v>123</v>
      </c>
      <c r="AV25" s="313" t="s">
        <v>124</v>
      </c>
      <c r="AW25" s="313" t="s">
        <v>292</v>
      </c>
      <c r="AX25" s="313" t="s">
        <v>115</v>
      </c>
      <c r="AY25" s="313" t="s">
        <v>115</v>
      </c>
      <c r="AZ25" s="313" t="s">
        <v>116</v>
      </c>
      <c r="BA25" s="313" t="s">
        <v>117</v>
      </c>
      <c r="BB25" s="313" t="s">
        <v>324</v>
      </c>
      <c r="BC25" s="313" t="s">
        <v>118</v>
      </c>
      <c r="BD25" s="313" t="s">
        <v>119</v>
      </c>
      <c r="BE25" s="313" t="s">
        <v>120</v>
      </c>
      <c r="BF25" s="313" t="s">
        <v>121</v>
      </c>
      <c r="BG25" s="313" t="s">
        <v>122</v>
      </c>
      <c r="BH25" s="313" t="s">
        <v>123</v>
      </c>
      <c r="BI25" s="313" t="s">
        <v>124</v>
      </c>
      <c r="BJ25" s="313" t="s">
        <v>292</v>
      </c>
      <c r="BK25" s="313" t="s">
        <v>334</v>
      </c>
      <c r="BL25" s="313" t="s">
        <v>125</v>
      </c>
      <c r="BM25" s="313" t="s">
        <v>334</v>
      </c>
      <c r="BN25" s="313" t="s">
        <v>125</v>
      </c>
      <c r="BO25" s="313" t="s">
        <v>326</v>
      </c>
      <c r="BP25" s="313" t="s">
        <v>219</v>
      </c>
      <c r="BQ25" s="313" t="s">
        <v>60</v>
      </c>
      <c r="BR25" s="313" t="s">
        <v>61</v>
      </c>
    </row>
    <row r="26" spans="1:70" s="313" customFormat="1" ht="13.5" thickBot="1">
      <c r="A26" s="739" t="s">
        <v>220</v>
      </c>
      <c r="B26" s="739" t="s">
        <v>221</v>
      </c>
      <c r="C26" s="739" t="s">
        <v>222</v>
      </c>
      <c r="D26" s="739" t="s">
        <v>223</v>
      </c>
      <c r="E26" s="739" t="s">
        <v>224</v>
      </c>
      <c r="F26" s="739" t="s">
        <v>225</v>
      </c>
      <c r="G26" s="739" t="s">
        <v>52</v>
      </c>
      <c r="H26" s="739" t="s">
        <v>53</v>
      </c>
      <c r="I26" s="739" t="s">
        <v>54</v>
      </c>
      <c r="J26" s="739" t="s">
        <v>55</v>
      </c>
      <c r="K26" s="739" t="s">
        <v>337</v>
      </c>
      <c r="L26" s="740" t="s">
        <v>60</v>
      </c>
      <c r="M26" s="740" t="s">
        <v>60</v>
      </c>
      <c r="N26" s="740" t="s">
        <v>60</v>
      </c>
      <c r="O26" s="740" t="s">
        <v>60</v>
      </c>
      <c r="P26" s="740" t="s">
        <v>60</v>
      </c>
      <c r="Q26" s="740" t="s">
        <v>60</v>
      </c>
      <c r="R26" s="740" t="s">
        <v>60</v>
      </c>
      <c r="S26" s="740" t="s">
        <v>60</v>
      </c>
      <c r="T26" s="740" t="s">
        <v>60</v>
      </c>
      <c r="U26" s="740" t="s">
        <v>60</v>
      </c>
      <c r="V26" s="740" t="s">
        <v>60</v>
      </c>
      <c r="W26" s="740" t="s">
        <v>60</v>
      </c>
      <c r="X26" s="740" t="s">
        <v>60</v>
      </c>
      <c r="Y26" s="740" t="s">
        <v>61</v>
      </c>
      <c r="Z26" s="740" t="s">
        <v>61</v>
      </c>
      <c r="AA26" s="740" t="s">
        <v>61</v>
      </c>
      <c r="AB26" s="740" t="s">
        <v>61</v>
      </c>
      <c r="AC26" s="740" t="s">
        <v>61</v>
      </c>
      <c r="AD26" s="740" t="s">
        <v>61</v>
      </c>
      <c r="AE26" s="740" t="s">
        <v>61</v>
      </c>
      <c r="AF26" s="740" t="s">
        <v>61</v>
      </c>
      <c r="AG26" s="740" t="s">
        <v>61</v>
      </c>
      <c r="AH26" s="740" t="s">
        <v>61</v>
      </c>
      <c r="AI26" s="740" t="s">
        <v>61</v>
      </c>
      <c r="AJ26" s="740" t="s">
        <v>61</v>
      </c>
      <c r="AK26" s="740" t="s">
        <v>61</v>
      </c>
      <c r="AL26" s="740" t="s">
        <v>61</v>
      </c>
      <c r="AM26" s="740" t="s">
        <v>61</v>
      </c>
      <c r="AN26" s="740" t="s">
        <v>61</v>
      </c>
      <c r="AO26" s="740" t="s">
        <v>61</v>
      </c>
      <c r="AP26" s="740" t="s">
        <v>61</v>
      </c>
      <c r="AQ26" s="740" t="s">
        <v>61</v>
      </c>
      <c r="AR26" s="740" t="s">
        <v>61</v>
      </c>
      <c r="AS26" s="740" t="s">
        <v>61</v>
      </c>
      <c r="AT26" s="740" t="s">
        <v>61</v>
      </c>
      <c r="AU26" s="740" t="s">
        <v>61</v>
      </c>
      <c r="AV26" s="740" t="s">
        <v>61</v>
      </c>
      <c r="AW26" s="740" t="s">
        <v>61</v>
      </c>
      <c r="AX26" s="740" t="s">
        <v>325</v>
      </c>
      <c r="AY26" s="740" t="s">
        <v>325</v>
      </c>
      <c r="AZ26" s="740" t="s">
        <v>325</v>
      </c>
      <c r="BA26" s="740" t="s">
        <v>325</v>
      </c>
      <c r="BB26" s="740" t="s">
        <v>325</v>
      </c>
      <c r="BC26" s="740" t="s">
        <v>325</v>
      </c>
      <c r="BD26" s="740" t="s">
        <v>325</v>
      </c>
      <c r="BE26" s="740" t="s">
        <v>325</v>
      </c>
      <c r="BF26" s="740" t="s">
        <v>325</v>
      </c>
      <c r="BG26" s="740" t="s">
        <v>325</v>
      </c>
      <c r="BH26" s="740" t="s">
        <v>325</v>
      </c>
      <c r="BI26" s="740" t="s">
        <v>325</v>
      </c>
      <c r="BJ26" s="740" t="s">
        <v>325</v>
      </c>
      <c r="BK26" s="740" t="s">
        <v>56</v>
      </c>
      <c r="BL26" s="740" t="s">
        <v>57</v>
      </c>
      <c r="BM26" s="740" t="s">
        <v>58</v>
      </c>
      <c r="BN26" s="740" t="s">
        <v>327</v>
      </c>
      <c r="BO26" s="740" t="s">
        <v>62</v>
      </c>
      <c r="BP26" s="740" t="s">
        <v>62</v>
      </c>
      <c r="BQ26" s="740" t="s">
        <v>62</v>
      </c>
      <c r="BR26" s="740" t="s">
        <v>62</v>
      </c>
    </row>
    <row r="27" spans="1:70" s="558" customFormat="1" ht="12.75">
      <c r="A27" s="862"/>
      <c r="B27" s="862"/>
      <c r="C27" s="862"/>
      <c r="D27" s="862"/>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862"/>
      <c r="AF27" s="862"/>
      <c r="AG27" s="862"/>
      <c r="AH27" s="862"/>
      <c r="AI27" s="862"/>
      <c r="AJ27" s="862"/>
      <c r="AK27" s="862"/>
      <c r="AL27" s="862"/>
      <c r="AM27" s="862"/>
      <c r="AN27" s="862"/>
      <c r="AO27" s="862"/>
      <c r="AP27" s="862"/>
      <c r="AQ27" s="862"/>
      <c r="AR27" s="862"/>
      <c r="AS27" s="862"/>
      <c r="AT27" s="862"/>
      <c r="AU27" s="862"/>
      <c r="AV27" s="862"/>
      <c r="AW27" s="862"/>
      <c r="AX27" s="862"/>
      <c r="AY27" s="862"/>
      <c r="AZ27" s="862"/>
      <c r="BA27" s="862"/>
      <c r="BB27" s="862"/>
      <c r="BC27" s="862"/>
      <c r="BD27" s="862"/>
      <c r="BE27" s="862"/>
      <c r="BF27" s="862"/>
      <c r="BG27" s="862"/>
      <c r="BH27" s="862"/>
      <c r="BI27" s="862"/>
      <c r="BJ27" s="862"/>
      <c r="BK27" s="862"/>
      <c r="BL27" s="862"/>
      <c r="BM27" s="862"/>
      <c r="BN27" s="862"/>
      <c r="BO27" s="862"/>
      <c r="BP27" s="862"/>
      <c r="BQ27" s="862"/>
      <c r="BR27" s="862"/>
    </row>
    <row r="28" spans="1:70" s="558" customFormat="1" ht="12.75">
      <c r="A28" s="862"/>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2"/>
      <c r="AS28" s="862"/>
      <c r="AT28" s="862"/>
      <c r="AU28" s="862"/>
      <c r="AV28" s="862"/>
      <c r="AW28" s="862"/>
      <c r="AX28" s="862"/>
      <c r="AY28" s="862"/>
      <c r="AZ28" s="862"/>
      <c r="BA28" s="862"/>
      <c r="BB28" s="862"/>
      <c r="BC28" s="862"/>
      <c r="BD28" s="862"/>
      <c r="BE28" s="862"/>
      <c r="BF28" s="862"/>
      <c r="BG28" s="862"/>
      <c r="BH28" s="862"/>
      <c r="BI28" s="862"/>
      <c r="BJ28" s="862"/>
      <c r="BK28" s="862"/>
      <c r="BL28" s="862"/>
      <c r="BM28" s="862"/>
      <c r="BN28" s="862"/>
      <c r="BO28" s="862"/>
      <c r="BP28" s="862"/>
      <c r="BQ28" s="862"/>
      <c r="BR28" s="862"/>
    </row>
    <row r="29" spans="1:70" s="558" customFormat="1" ht="12.75">
      <c r="A29" s="862"/>
      <c r="B29" s="862"/>
      <c r="C29" s="862"/>
      <c r="D29" s="862"/>
      <c r="E29" s="862"/>
      <c r="F29" s="862"/>
      <c r="G29" s="862"/>
      <c r="H29" s="862"/>
      <c r="I29" s="862"/>
      <c r="J29" s="862"/>
      <c r="K29" s="862"/>
      <c r="L29" s="862"/>
      <c r="M29" s="862"/>
      <c r="N29" s="862"/>
      <c r="O29" s="862"/>
      <c r="P29" s="862"/>
      <c r="Q29" s="862"/>
      <c r="R29" s="862"/>
      <c r="S29" s="862"/>
      <c r="T29" s="862"/>
      <c r="U29" s="862"/>
      <c r="V29" s="862"/>
      <c r="W29" s="862"/>
      <c r="X29" s="862"/>
      <c r="Y29" s="862"/>
      <c r="Z29" s="862"/>
      <c r="AA29" s="862"/>
      <c r="AB29" s="862"/>
      <c r="AC29" s="862"/>
      <c r="AD29" s="862"/>
      <c r="AE29" s="862"/>
      <c r="AF29" s="862"/>
      <c r="AG29" s="862"/>
      <c r="AH29" s="862"/>
      <c r="AI29" s="862"/>
      <c r="AJ29" s="862"/>
      <c r="AK29" s="862"/>
      <c r="AL29" s="862"/>
      <c r="AM29" s="862"/>
      <c r="AN29" s="862"/>
      <c r="AO29" s="862"/>
      <c r="AP29" s="862"/>
      <c r="AQ29" s="862"/>
      <c r="AR29" s="862"/>
      <c r="AS29" s="862"/>
      <c r="AT29" s="862"/>
      <c r="AU29" s="862"/>
      <c r="AV29" s="862"/>
      <c r="AW29" s="862"/>
      <c r="AX29" s="862"/>
      <c r="AY29" s="862"/>
      <c r="AZ29" s="862"/>
      <c r="BA29" s="862"/>
      <c r="BB29" s="862"/>
      <c r="BC29" s="862"/>
      <c r="BD29" s="862"/>
      <c r="BE29" s="862"/>
      <c r="BF29" s="862"/>
      <c r="BG29" s="862"/>
      <c r="BH29" s="862"/>
      <c r="BI29" s="862"/>
      <c r="BJ29" s="862"/>
      <c r="BK29" s="862"/>
      <c r="BL29" s="862"/>
      <c r="BM29" s="862"/>
      <c r="BN29" s="862"/>
      <c r="BO29" s="862"/>
      <c r="BP29" s="862"/>
      <c r="BQ29" s="862"/>
      <c r="BR29" s="862"/>
    </row>
    <row r="30" spans="1:70" s="558" customFormat="1" ht="12.75">
      <c r="A30" s="862"/>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2"/>
      <c r="AY30" s="862"/>
      <c r="AZ30" s="862"/>
      <c r="BA30" s="862"/>
      <c r="BB30" s="862"/>
      <c r="BC30" s="862"/>
      <c r="BD30" s="862"/>
      <c r="BE30" s="862"/>
      <c r="BF30" s="862"/>
      <c r="BG30" s="862"/>
      <c r="BH30" s="862"/>
      <c r="BI30" s="862"/>
      <c r="BJ30" s="862"/>
      <c r="BK30" s="862"/>
      <c r="BL30" s="862"/>
      <c r="BM30" s="862"/>
      <c r="BN30" s="862"/>
      <c r="BO30" s="862"/>
      <c r="BP30" s="862"/>
      <c r="BQ30" s="862"/>
      <c r="BR30" s="862"/>
    </row>
    <row r="31" spans="1:70" s="558" customFormat="1" ht="12.75">
      <c r="A31" s="862"/>
      <c r="B31" s="862"/>
      <c r="C31" s="862"/>
      <c r="D31" s="862"/>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2"/>
      <c r="AY31" s="862"/>
      <c r="AZ31" s="862"/>
      <c r="BA31" s="862"/>
      <c r="BB31" s="862"/>
      <c r="BC31" s="862"/>
      <c r="BD31" s="862"/>
      <c r="BE31" s="862"/>
      <c r="BF31" s="862"/>
      <c r="BG31" s="862"/>
      <c r="BH31" s="862"/>
      <c r="BI31" s="862"/>
      <c r="BJ31" s="862"/>
      <c r="BK31" s="862"/>
      <c r="BL31" s="862"/>
      <c r="BM31" s="862"/>
      <c r="BN31" s="862"/>
      <c r="BO31" s="862"/>
      <c r="BP31" s="862"/>
      <c r="BQ31" s="862"/>
      <c r="BR31" s="862"/>
    </row>
    <row r="32" spans="1:70" s="558" customFormat="1" ht="12.75">
      <c r="A32" s="862"/>
      <c r="B32" s="862"/>
      <c r="C32" s="862"/>
      <c r="D32" s="862"/>
      <c r="E32" s="862"/>
      <c r="F32" s="862"/>
      <c r="G32" s="862"/>
      <c r="H32" s="862"/>
      <c r="I32" s="862"/>
      <c r="J32" s="862"/>
      <c r="K32" s="862"/>
      <c r="L32" s="862"/>
      <c r="M32" s="862"/>
      <c r="N32" s="862"/>
      <c r="O32" s="862"/>
      <c r="P32" s="862"/>
      <c r="Q32" s="862"/>
      <c r="R32" s="862"/>
      <c r="S32" s="862"/>
      <c r="T32" s="862"/>
      <c r="U32" s="862"/>
      <c r="V32" s="862"/>
      <c r="W32" s="862"/>
      <c r="X32" s="862"/>
      <c r="Y32" s="862"/>
      <c r="Z32" s="862"/>
      <c r="AA32" s="862"/>
      <c r="AB32" s="862"/>
      <c r="AC32" s="862"/>
      <c r="AD32" s="862"/>
      <c r="AE32" s="862"/>
      <c r="AF32" s="862"/>
      <c r="AG32" s="862"/>
      <c r="AH32" s="862"/>
      <c r="AI32" s="862"/>
      <c r="AJ32" s="862"/>
      <c r="AK32" s="862"/>
      <c r="AL32" s="862"/>
      <c r="AM32" s="862"/>
      <c r="AN32" s="862"/>
      <c r="AO32" s="862"/>
      <c r="AP32" s="862"/>
      <c r="AQ32" s="862"/>
      <c r="AR32" s="862"/>
      <c r="AS32" s="862"/>
      <c r="AT32" s="862"/>
      <c r="AU32" s="862"/>
      <c r="AV32" s="862"/>
      <c r="AW32" s="862"/>
      <c r="AX32" s="862"/>
      <c r="AY32" s="862"/>
      <c r="AZ32" s="862"/>
      <c r="BA32" s="862"/>
      <c r="BB32" s="862"/>
      <c r="BC32" s="862"/>
      <c r="BD32" s="862"/>
      <c r="BE32" s="862"/>
      <c r="BF32" s="862"/>
      <c r="BG32" s="862"/>
      <c r="BH32" s="862"/>
      <c r="BI32" s="862"/>
      <c r="BJ32" s="862"/>
      <c r="BK32" s="862"/>
      <c r="BL32" s="862"/>
      <c r="BM32" s="862"/>
      <c r="BN32" s="862"/>
      <c r="BO32" s="862"/>
      <c r="BP32" s="862"/>
      <c r="BQ32" s="862"/>
      <c r="BR32" s="862"/>
    </row>
    <row r="33" spans="1:70" s="863" customFormat="1" ht="12.75">
      <c r="A33" s="862"/>
      <c r="B33" s="862"/>
      <c r="C33" s="862"/>
      <c r="D33" s="862"/>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2"/>
      <c r="AO33" s="862"/>
      <c r="AP33" s="862"/>
      <c r="AQ33" s="862"/>
      <c r="AR33" s="862"/>
      <c r="AS33" s="862"/>
      <c r="AT33" s="862"/>
      <c r="AU33" s="862"/>
      <c r="AV33" s="862"/>
      <c r="AW33" s="862"/>
      <c r="AX33" s="862"/>
      <c r="AY33" s="862"/>
      <c r="AZ33" s="862"/>
      <c r="BA33" s="862"/>
      <c r="BB33" s="862"/>
      <c r="BC33" s="862"/>
      <c r="BD33" s="862"/>
      <c r="BE33" s="862"/>
      <c r="BF33" s="862"/>
      <c r="BG33" s="862"/>
      <c r="BH33" s="862"/>
      <c r="BI33" s="862"/>
      <c r="BJ33" s="862"/>
      <c r="BK33" s="862"/>
      <c r="BL33" s="862"/>
      <c r="BM33" s="862"/>
      <c r="BN33" s="862"/>
      <c r="BO33" s="862"/>
      <c r="BP33" s="862"/>
      <c r="BQ33" s="862"/>
      <c r="BR33" s="862"/>
    </row>
    <row r="34" spans="1:70" s="863" customFormat="1" ht="12.75">
      <c r="A34" s="862"/>
      <c r="B34" s="862"/>
      <c r="C34" s="862"/>
      <c r="D34" s="862"/>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2"/>
      <c r="AO34" s="862"/>
      <c r="AP34" s="862"/>
      <c r="AQ34" s="862"/>
      <c r="AR34" s="862"/>
      <c r="AS34" s="862"/>
      <c r="AT34" s="862"/>
      <c r="AU34" s="862"/>
      <c r="AV34" s="862"/>
      <c r="AW34" s="862"/>
      <c r="AX34" s="862"/>
      <c r="AY34" s="862"/>
      <c r="AZ34" s="862"/>
      <c r="BA34" s="862"/>
      <c r="BB34" s="862"/>
      <c r="BC34" s="862"/>
      <c r="BD34" s="862"/>
      <c r="BE34" s="862"/>
      <c r="BF34" s="862"/>
      <c r="BG34" s="862"/>
      <c r="BH34" s="862"/>
      <c r="BI34" s="862"/>
      <c r="BJ34" s="862"/>
      <c r="BK34" s="862"/>
      <c r="BL34" s="862"/>
      <c r="BM34" s="862"/>
      <c r="BN34" s="862"/>
      <c r="BO34" s="862"/>
      <c r="BP34" s="862"/>
      <c r="BQ34" s="862"/>
      <c r="BR34" s="862"/>
    </row>
    <row r="35" spans="1:70" s="863" customFormat="1" ht="12.75">
      <c r="A35" s="862"/>
      <c r="B35" s="862"/>
      <c r="C35" s="862"/>
      <c r="D35" s="862"/>
      <c r="E35" s="862"/>
      <c r="F35" s="862"/>
      <c r="G35" s="862"/>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2"/>
      <c r="AY35" s="862"/>
      <c r="AZ35" s="862"/>
      <c r="BA35" s="862"/>
      <c r="BB35" s="862"/>
      <c r="BC35" s="862"/>
      <c r="BD35" s="862"/>
      <c r="BE35" s="862"/>
      <c r="BF35" s="862"/>
      <c r="BG35" s="862"/>
      <c r="BH35" s="862"/>
      <c r="BI35" s="862"/>
      <c r="BJ35" s="862"/>
      <c r="BK35" s="862"/>
      <c r="BL35" s="862"/>
      <c r="BM35" s="862"/>
      <c r="BN35" s="862"/>
      <c r="BO35" s="862"/>
      <c r="BP35" s="862"/>
      <c r="BQ35" s="862"/>
      <c r="BR35" s="862"/>
    </row>
    <row r="36" spans="1:70" s="863" customFormat="1" ht="12.75">
      <c r="A36" s="862"/>
      <c r="B36" s="862"/>
      <c r="C36" s="862"/>
      <c r="D36" s="862"/>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2"/>
      <c r="AY36" s="862"/>
      <c r="AZ36" s="862"/>
      <c r="BA36" s="862"/>
      <c r="BB36" s="862"/>
      <c r="BC36" s="862"/>
      <c r="BD36" s="862"/>
      <c r="BE36" s="862"/>
      <c r="BF36" s="862"/>
      <c r="BG36" s="862"/>
      <c r="BH36" s="862"/>
      <c r="BI36" s="862"/>
      <c r="BJ36" s="862"/>
      <c r="BK36" s="862"/>
      <c r="BL36" s="862"/>
      <c r="BM36" s="862"/>
      <c r="BN36" s="862"/>
      <c r="BO36" s="862"/>
      <c r="BP36" s="862"/>
      <c r="BQ36" s="862"/>
      <c r="BR36" s="862"/>
    </row>
    <row r="37" spans="1:70" s="863" customFormat="1" ht="12.75">
      <c r="A37" s="862"/>
      <c r="B37" s="862"/>
      <c r="C37" s="862"/>
      <c r="D37" s="862"/>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2"/>
      <c r="AO37" s="862"/>
      <c r="AP37" s="862"/>
      <c r="AQ37" s="862"/>
      <c r="AR37" s="862"/>
      <c r="AS37" s="862"/>
      <c r="AT37" s="862"/>
      <c r="AU37" s="862"/>
      <c r="AV37" s="862"/>
      <c r="AW37" s="862"/>
      <c r="AX37" s="862"/>
      <c r="AY37" s="862"/>
      <c r="AZ37" s="862"/>
      <c r="BA37" s="862"/>
      <c r="BB37" s="862"/>
      <c r="BC37" s="862"/>
      <c r="BD37" s="862"/>
      <c r="BE37" s="862"/>
      <c r="BF37" s="862"/>
      <c r="BG37" s="862"/>
      <c r="BH37" s="862"/>
      <c r="BI37" s="862"/>
      <c r="BJ37" s="862"/>
      <c r="BK37" s="862"/>
      <c r="BL37" s="862"/>
      <c r="BM37" s="862"/>
      <c r="BN37" s="862"/>
      <c r="BO37" s="862"/>
      <c r="BP37" s="862"/>
      <c r="BQ37" s="862"/>
      <c r="BR37" s="862"/>
    </row>
    <row r="38" spans="1:70" s="863" customFormat="1" ht="12.75">
      <c r="A38" s="862"/>
      <c r="B38" s="862"/>
      <c r="C38" s="862"/>
      <c r="D38" s="862"/>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862"/>
      <c r="AO38" s="862"/>
      <c r="AP38" s="862"/>
      <c r="AQ38" s="862"/>
      <c r="AR38" s="862"/>
      <c r="AS38" s="862"/>
      <c r="AT38" s="862"/>
      <c r="AU38" s="862"/>
      <c r="AV38" s="862"/>
      <c r="AW38" s="862"/>
      <c r="AX38" s="862"/>
      <c r="AY38" s="862"/>
      <c r="AZ38" s="862"/>
      <c r="BA38" s="862"/>
      <c r="BB38" s="862"/>
      <c r="BC38" s="862"/>
      <c r="BD38" s="862"/>
      <c r="BE38" s="862"/>
      <c r="BF38" s="862"/>
      <c r="BG38" s="862"/>
      <c r="BH38" s="862"/>
      <c r="BI38" s="862"/>
      <c r="BJ38" s="862"/>
      <c r="BK38" s="862"/>
      <c r="BL38" s="862"/>
      <c r="BM38" s="862"/>
      <c r="BN38" s="862"/>
      <c r="BO38" s="862"/>
      <c r="BP38" s="862"/>
      <c r="BQ38" s="862"/>
      <c r="BR38" s="862"/>
    </row>
    <row r="39" spans="1:70" s="863" customFormat="1" ht="12.75">
      <c r="A39" s="862"/>
      <c r="B39" s="862"/>
      <c r="C39" s="862"/>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862"/>
      <c r="AH39" s="862"/>
      <c r="AI39" s="862"/>
      <c r="AJ39" s="862"/>
      <c r="AK39" s="862"/>
      <c r="AL39" s="862"/>
      <c r="AM39" s="862"/>
      <c r="AN39" s="862"/>
      <c r="AO39" s="862"/>
      <c r="AP39" s="862"/>
      <c r="AQ39" s="862"/>
      <c r="AR39" s="862"/>
      <c r="AS39" s="862"/>
      <c r="AT39" s="862"/>
      <c r="AU39" s="862"/>
      <c r="AV39" s="862"/>
      <c r="AW39" s="862"/>
      <c r="AX39" s="862"/>
      <c r="AY39" s="862"/>
      <c r="AZ39" s="862"/>
      <c r="BA39" s="862"/>
      <c r="BB39" s="862"/>
      <c r="BC39" s="862"/>
      <c r="BD39" s="862"/>
      <c r="BE39" s="862"/>
      <c r="BF39" s="862"/>
      <c r="BG39" s="862"/>
      <c r="BH39" s="862"/>
      <c r="BI39" s="862"/>
      <c r="BJ39" s="862"/>
      <c r="BK39" s="862"/>
      <c r="BL39" s="862"/>
      <c r="BM39" s="862"/>
      <c r="BN39" s="862"/>
      <c r="BO39" s="862"/>
      <c r="BP39" s="862"/>
      <c r="BQ39" s="862"/>
      <c r="BR39" s="862"/>
    </row>
    <row r="40" spans="1:70" s="863" customFormat="1" ht="12.75">
      <c r="A40" s="862"/>
      <c r="B40" s="862"/>
      <c r="C40" s="862"/>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c r="AH40" s="862"/>
      <c r="AI40" s="862"/>
      <c r="AJ40" s="862"/>
      <c r="AK40" s="862"/>
      <c r="AL40" s="862"/>
      <c r="AM40" s="862"/>
      <c r="AN40" s="862"/>
      <c r="AO40" s="862"/>
      <c r="AP40" s="862"/>
      <c r="AQ40" s="862"/>
      <c r="AR40" s="862"/>
      <c r="AS40" s="862"/>
      <c r="AT40" s="862"/>
      <c r="AU40" s="862"/>
      <c r="AV40" s="862"/>
      <c r="AW40" s="862"/>
      <c r="AX40" s="862"/>
      <c r="AY40" s="862"/>
      <c r="AZ40" s="862"/>
      <c r="BA40" s="862"/>
      <c r="BB40" s="862"/>
      <c r="BC40" s="862"/>
      <c r="BD40" s="862"/>
      <c r="BE40" s="862"/>
      <c r="BF40" s="862"/>
      <c r="BG40" s="862"/>
      <c r="BH40" s="862"/>
      <c r="BI40" s="862"/>
      <c r="BJ40" s="862"/>
      <c r="BK40" s="862"/>
      <c r="BL40" s="862"/>
      <c r="BM40" s="862"/>
      <c r="BN40" s="862"/>
      <c r="BO40" s="862"/>
      <c r="BP40" s="862"/>
      <c r="BQ40" s="862"/>
      <c r="BR40" s="862"/>
    </row>
    <row r="41" spans="1:70" s="863" customFormat="1" ht="12.75">
      <c r="A41" s="862"/>
      <c r="B41" s="862"/>
      <c r="C41" s="862"/>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2"/>
      <c r="BA41" s="862"/>
      <c r="BB41" s="862"/>
      <c r="BC41" s="862"/>
      <c r="BD41" s="862"/>
      <c r="BE41" s="862"/>
      <c r="BF41" s="862"/>
      <c r="BG41" s="862"/>
      <c r="BH41" s="862"/>
      <c r="BI41" s="862"/>
      <c r="BJ41" s="862"/>
      <c r="BK41" s="862"/>
      <c r="BL41" s="862"/>
      <c r="BM41" s="862"/>
      <c r="BN41" s="862"/>
      <c r="BO41" s="862"/>
      <c r="BP41" s="862"/>
      <c r="BQ41" s="862"/>
      <c r="BR41" s="862"/>
    </row>
    <row r="42" spans="1:70" s="863" customFormat="1" ht="12.75">
      <c r="A42" s="862"/>
      <c r="B42" s="862"/>
      <c r="C42" s="862"/>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2"/>
      <c r="BA42" s="862"/>
      <c r="BB42" s="862"/>
      <c r="BC42" s="862"/>
      <c r="BD42" s="862"/>
      <c r="BE42" s="862"/>
      <c r="BF42" s="862"/>
      <c r="BG42" s="862"/>
      <c r="BH42" s="862"/>
      <c r="BI42" s="862"/>
      <c r="BJ42" s="862"/>
      <c r="BK42" s="862"/>
      <c r="BL42" s="862"/>
      <c r="BM42" s="862"/>
      <c r="BN42" s="862"/>
      <c r="BO42" s="862"/>
      <c r="BP42" s="862"/>
      <c r="BQ42" s="862"/>
      <c r="BR42" s="862"/>
    </row>
    <row r="43" spans="1:70" s="863" customFormat="1" ht="12.75">
      <c r="A43" s="862"/>
      <c r="B43" s="862"/>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2"/>
      <c r="AY43" s="862"/>
      <c r="AZ43" s="862"/>
      <c r="BA43" s="862"/>
      <c r="BB43" s="862"/>
      <c r="BC43" s="862"/>
      <c r="BD43" s="862"/>
      <c r="BE43" s="862"/>
      <c r="BF43" s="862"/>
      <c r="BG43" s="862"/>
      <c r="BH43" s="862"/>
      <c r="BI43" s="862"/>
      <c r="BJ43" s="862"/>
      <c r="BK43" s="862"/>
      <c r="BL43" s="862"/>
      <c r="BM43" s="862"/>
      <c r="BN43" s="862"/>
      <c r="BO43" s="862"/>
      <c r="BP43" s="862"/>
      <c r="BQ43" s="862"/>
      <c r="BR43" s="862"/>
    </row>
    <row r="44" spans="1:70" s="863" customFormat="1" ht="12.75">
      <c r="A44" s="862"/>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862"/>
      <c r="AS44" s="862"/>
      <c r="AT44" s="862"/>
      <c r="AU44" s="862"/>
      <c r="AV44" s="862"/>
      <c r="AW44" s="862"/>
      <c r="AX44" s="862"/>
      <c r="AY44" s="862"/>
      <c r="AZ44" s="862"/>
      <c r="BA44" s="862"/>
      <c r="BB44" s="862"/>
      <c r="BC44" s="862"/>
      <c r="BD44" s="862"/>
      <c r="BE44" s="862"/>
      <c r="BF44" s="862"/>
      <c r="BG44" s="862"/>
      <c r="BH44" s="862"/>
      <c r="BI44" s="862"/>
      <c r="BJ44" s="862"/>
      <c r="BK44" s="862"/>
      <c r="BL44" s="862"/>
      <c r="BM44" s="862"/>
      <c r="BN44" s="862"/>
      <c r="BO44" s="862"/>
      <c r="BP44" s="862"/>
      <c r="BQ44" s="862"/>
      <c r="BR44" s="862"/>
    </row>
    <row r="45" spans="1:70" s="863" customFormat="1" ht="12.75">
      <c r="A45" s="862"/>
      <c r="B45" s="862"/>
      <c r="C45" s="862"/>
      <c r="D45" s="862"/>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2"/>
      <c r="BA45" s="862"/>
      <c r="BB45" s="862"/>
      <c r="BC45" s="862"/>
      <c r="BD45" s="862"/>
      <c r="BE45" s="862"/>
      <c r="BF45" s="862"/>
      <c r="BG45" s="862"/>
      <c r="BH45" s="862"/>
      <c r="BI45" s="862"/>
      <c r="BJ45" s="862"/>
      <c r="BK45" s="862"/>
      <c r="BL45" s="862"/>
      <c r="BM45" s="862"/>
      <c r="BN45" s="862"/>
      <c r="BO45" s="862"/>
      <c r="BP45" s="862"/>
      <c r="BQ45" s="862"/>
      <c r="BR45" s="862"/>
    </row>
    <row r="46" spans="1:70" s="863" customFormat="1" ht="12.75">
      <c r="A46" s="864"/>
      <c r="B46" s="864"/>
      <c r="C46" s="864"/>
      <c r="D46" s="864"/>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4"/>
      <c r="BA46" s="864"/>
      <c r="BB46" s="864"/>
      <c r="BC46" s="864"/>
      <c r="BD46" s="864"/>
      <c r="BE46" s="864"/>
      <c r="BF46" s="864"/>
      <c r="BG46" s="864"/>
      <c r="BH46" s="864"/>
      <c r="BI46" s="864"/>
      <c r="BJ46" s="864"/>
      <c r="BK46" s="864"/>
      <c r="BL46" s="864"/>
      <c r="BM46" s="864"/>
      <c r="BN46" s="864"/>
      <c r="BO46" s="864"/>
      <c r="BP46" s="864"/>
      <c r="BQ46" s="864"/>
      <c r="BR46" s="864"/>
    </row>
    <row r="47" spans="1:70" s="863" customFormat="1" ht="12.75">
      <c r="A47" s="864"/>
      <c r="B47" s="864"/>
      <c r="C47" s="864"/>
      <c r="D47" s="864"/>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4"/>
      <c r="BA47" s="864"/>
      <c r="BB47" s="864"/>
      <c r="BC47" s="864"/>
      <c r="BD47" s="864"/>
      <c r="BE47" s="864"/>
      <c r="BF47" s="864"/>
      <c r="BG47" s="864"/>
      <c r="BH47" s="864"/>
      <c r="BI47" s="864"/>
      <c r="BJ47" s="864"/>
      <c r="BK47" s="864"/>
      <c r="BL47" s="864"/>
      <c r="BM47" s="864"/>
      <c r="BN47" s="864"/>
      <c r="BO47" s="864"/>
      <c r="BP47" s="864"/>
      <c r="BQ47" s="864"/>
      <c r="BR47" s="864"/>
    </row>
    <row r="48" spans="1:70" s="863" customFormat="1" ht="12.75">
      <c r="A48" s="864" t="s">
        <v>394</v>
      </c>
      <c r="B48" s="864"/>
      <c r="C48" s="864"/>
      <c r="D48" s="864"/>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4"/>
      <c r="BA48" s="864"/>
      <c r="BB48" s="864"/>
      <c r="BC48" s="864"/>
      <c r="BD48" s="864"/>
      <c r="BE48" s="864"/>
      <c r="BF48" s="864"/>
      <c r="BG48" s="864"/>
      <c r="BH48" s="864"/>
      <c r="BI48" s="864"/>
      <c r="BJ48" s="864"/>
      <c r="BK48" s="864"/>
      <c r="BL48" s="864"/>
      <c r="BM48" s="864"/>
      <c r="BN48" s="864"/>
      <c r="BO48" s="864"/>
      <c r="BP48" s="864"/>
      <c r="BQ48" s="864"/>
      <c r="BR48" s="864"/>
    </row>
    <row r="49" spans="1:12" s="313" customFormat="1" ht="12.75">
      <c r="A49" s="131"/>
      <c r="B49" s="131"/>
      <c r="C49" s="131"/>
      <c r="D49" s="131"/>
      <c r="E49" s="131"/>
      <c r="F49" s="131"/>
      <c r="G49" s="131"/>
      <c r="H49" s="131"/>
      <c r="I49" s="131"/>
      <c r="J49" s="131"/>
      <c r="K49" s="131"/>
      <c r="L49" s="131"/>
    </row>
    <row r="50" spans="1:12" s="313" customFormat="1" ht="12.75">
      <c r="A50" s="131"/>
      <c r="B50" s="131"/>
      <c r="C50" s="131"/>
      <c r="D50" s="131"/>
      <c r="E50" s="131"/>
      <c r="F50" s="131"/>
      <c r="G50" s="131"/>
      <c r="H50" s="131"/>
      <c r="I50" s="131"/>
      <c r="J50" s="131"/>
      <c r="K50" s="131"/>
      <c r="L50" s="131"/>
    </row>
    <row r="51" spans="1:12" s="313" customFormat="1" ht="12.75">
      <c r="A51" s="131"/>
      <c r="B51" s="131"/>
      <c r="C51" s="131"/>
      <c r="D51" s="131"/>
      <c r="E51" s="131"/>
      <c r="F51" s="131"/>
      <c r="G51" s="131"/>
      <c r="H51" s="131"/>
      <c r="I51" s="131"/>
      <c r="J51" s="131"/>
      <c r="K51" s="131"/>
      <c r="L51" s="131"/>
    </row>
    <row r="52" spans="1:12" s="313" customFormat="1" ht="12.75">
      <c r="A52" s="131"/>
      <c r="B52" s="131"/>
      <c r="C52" s="131"/>
      <c r="D52" s="131"/>
      <c r="E52" s="131"/>
      <c r="F52" s="131"/>
      <c r="G52" s="131"/>
      <c r="H52" s="131"/>
      <c r="I52" s="131"/>
      <c r="J52" s="131"/>
      <c r="K52" s="131"/>
      <c r="L52" s="131"/>
    </row>
    <row r="53" spans="1:12" s="313" customFormat="1" ht="12.75">
      <c r="A53" s="131"/>
      <c r="B53" s="131"/>
      <c r="C53" s="131"/>
      <c r="D53" s="131"/>
      <c r="E53" s="131"/>
      <c r="F53" s="131"/>
      <c r="G53" s="131"/>
      <c r="H53" s="131"/>
      <c r="I53" s="131"/>
      <c r="J53" s="131"/>
      <c r="K53" s="131"/>
      <c r="L53" s="131"/>
    </row>
    <row r="54" spans="1:12" s="313" customFormat="1" ht="12.75">
      <c r="A54" s="131"/>
      <c r="B54" s="131"/>
      <c r="C54" s="131"/>
      <c r="D54" s="131"/>
      <c r="E54" s="131"/>
      <c r="F54" s="131"/>
      <c r="G54" s="131"/>
      <c r="H54" s="131"/>
      <c r="I54" s="131"/>
      <c r="J54" s="131"/>
      <c r="K54" s="131"/>
      <c r="L54" s="131"/>
    </row>
    <row r="55" spans="1:12" s="313" customFormat="1" ht="12.75">
      <c r="A55" s="131"/>
      <c r="B55" s="131"/>
      <c r="C55" s="131"/>
      <c r="D55" s="131"/>
      <c r="E55" s="131"/>
      <c r="F55" s="131"/>
      <c r="G55" s="131"/>
      <c r="H55" s="131"/>
      <c r="I55" s="131"/>
      <c r="J55" s="131"/>
      <c r="K55" s="131"/>
      <c r="L55" s="131"/>
    </row>
    <row r="56" spans="1:12" s="313" customFormat="1" ht="12.75">
      <c r="A56" s="131"/>
      <c r="B56" s="131"/>
      <c r="C56" s="131"/>
      <c r="D56" s="131"/>
      <c r="E56" s="131"/>
      <c r="F56" s="131"/>
      <c r="G56" s="131"/>
      <c r="H56" s="131"/>
      <c r="I56" s="131"/>
      <c r="J56" s="131"/>
      <c r="K56" s="131"/>
      <c r="L56" s="131"/>
    </row>
    <row r="57" spans="1:12" s="313" customFormat="1" ht="12.75">
      <c r="A57" s="131"/>
      <c r="B57" s="131"/>
      <c r="C57" s="131"/>
      <c r="D57" s="131"/>
      <c r="E57" s="131"/>
      <c r="F57" s="131"/>
      <c r="G57" s="131"/>
      <c r="H57" s="131"/>
      <c r="I57" s="131"/>
      <c r="J57" s="131"/>
      <c r="K57" s="131"/>
      <c r="L57" s="131"/>
    </row>
    <row r="58" spans="1:12" s="313" customFormat="1" ht="12.75">
      <c r="A58" s="131"/>
      <c r="B58" s="131"/>
      <c r="C58" s="131"/>
      <c r="D58" s="131"/>
      <c r="E58" s="131"/>
      <c r="F58" s="131"/>
      <c r="G58" s="131"/>
      <c r="H58" s="131"/>
      <c r="I58" s="131"/>
      <c r="J58" s="131"/>
      <c r="K58" s="131"/>
      <c r="L58" s="131"/>
    </row>
    <row r="59" spans="1:12" s="313" customFormat="1" ht="12.75">
      <c r="A59" s="131"/>
      <c r="B59" s="131"/>
      <c r="C59" s="131"/>
      <c r="D59" s="131"/>
      <c r="E59" s="131"/>
      <c r="F59" s="131"/>
      <c r="G59" s="131"/>
      <c r="H59" s="131"/>
      <c r="I59" s="131"/>
      <c r="J59" s="131"/>
      <c r="K59" s="131"/>
      <c r="L59" s="131"/>
    </row>
    <row r="60" spans="1:12" s="313" customFormat="1" ht="12.75">
      <c r="A60" s="131"/>
      <c r="B60" s="131"/>
      <c r="C60" s="131"/>
      <c r="D60" s="131"/>
      <c r="E60" s="131"/>
      <c r="F60" s="131"/>
      <c r="G60" s="131"/>
      <c r="H60" s="131"/>
      <c r="I60" s="131"/>
      <c r="J60" s="131"/>
      <c r="K60" s="131"/>
      <c r="L60" s="131"/>
    </row>
    <row r="61" spans="1:12" s="313" customFormat="1" ht="12.75">
      <c r="A61" s="131"/>
      <c r="B61" s="131"/>
      <c r="C61" s="131"/>
      <c r="D61" s="131"/>
      <c r="E61" s="131"/>
      <c r="F61" s="131"/>
      <c r="G61" s="131"/>
      <c r="H61" s="131"/>
      <c r="I61" s="131"/>
      <c r="J61" s="131"/>
      <c r="K61" s="131"/>
      <c r="L61" s="131"/>
    </row>
    <row r="62" spans="1:12" s="746" customFormat="1" ht="13.5">
      <c r="A62" s="745"/>
      <c r="B62" s="745"/>
      <c r="C62" s="745"/>
      <c r="D62" s="745"/>
      <c r="E62" s="745"/>
      <c r="F62" s="745"/>
      <c r="G62" s="745"/>
      <c r="H62" s="745"/>
      <c r="I62" s="745"/>
      <c r="J62" s="745"/>
      <c r="K62" s="745"/>
      <c r="L62" s="745"/>
    </row>
    <row r="63" spans="1:12" s="746" customFormat="1" ht="13.5">
      <c r="A63" s="745"/>
      <c r="B63" s="745"/>
      <c r="C63" s="745"/>
      <c r="D63" s="745"/>
      <c r="E63" s="745"/>
      <c r="F63" s="745"/>
      <c r="G63" s="745"/>
      <c r="H63" s="745"/>
      <c r="I63" s="745"/>
      <c r="J63" s="745"/>
      <c r="K63" s="745"/>
      <c r="L63" s="745"/>
    </row>
    <row r="64" spans="1:12" s="746" customFormat="1" ht="13.5">
      <c r="A64" s="745"/>
      <c r="B64" s="745"/>
      <c r="C64" s="745"/>
      <c r="D64" s="745"/>
      <c r="E64" s="745"/>
      <c r="F64" s="745"/>
      <c r="G64" s="745"/>
      <c r="H64" s="745"/>
      <c r="I64" s="745"/>
      <c r="J64" s="745"/>
      <c r="K64" s="745"/>
      <c r="L64" s="745"/>
    </row>
    <row r="65" spans="1:12" s="746" customFormat="1" ht="13.5">
      <c r="A65" s="745"/>
      <c r="B65" s="745"/>
      <c r="C65" s="745"/>
      <c r="D65" s="745"/>
      <c r="E65" s="745"/>
      <c r="F65" s="745"/>
      <c r="G65" s="745"/>
      <c r="H65" s="745"/>
      <c r="I65" s="745"/>
      <c r="J65" s="745"/>
      <c r="K65" s="745"/>
      <c r="L65" s="745"/>
    </row>
    <row r="66" spans="1:12" s="746" customFormat="1" ht="13.5">
      <c r="A66" s="745"/>
      <c r="B66" s="745"/>
      <c r="C66" s="745"/>
      <c r="D66" s="745"/>
      <c r="E66" s="745"/>
      <c r="F66" s="745"/>
      <c r="G66" s="745"/>
      <c r="H66" s="745"/>
      <c r="I66" s="745"/>
      <c r="J66" s="745"/>
      <c r="K66" s="745"/>
      <c r="L66" s="745"/>
    </row>
    <row r="67" spans="1:12" s="746" customFormat="1" ht="13.5">
      <c r="A67" s="745"/>
      <c r="B67" s="745"/>
      <c r="C67" s="745"/>
      <c r="D67" s="745"/>
      <c r="E67" s="745"/>
      <c r="F67" s="745"/>
      <c r="G67" s="745"/>
      <c r="H67" s="745"/>
      <c r="I67" s="745"/>
      <c r="J67" s="745"/>
      <c r="K67" s="745"/>
      <c r="L67" s="745"/>
    </row>
    <row r="68" spans="1:12" s="746" customFormat="1" ht="13.5">
      <c r="A68" s="745"/>
      <c r="B68" s="745"/>
      <c r="C68" s="745"/>
      <c r="D68" s="745"/>
      <c r="E68" s="745"/>
      <c r="F68" s="745"/>
      <c r="G68" s="745"/>
      <c r="H68" s="745"/>
      <c r="I68" s="745"/>
      <c r="J68" s="745"/>
      <c r="K68" s="745"/>
      <c r="L68" s="745"/>
    </row>
    <row r="69" spans="1:12" s="746" customFormat="1" ht="13.5">
      <c r="A69" s="745"/>
      <c r="B69" s="745"/>
      <c r="C69" s="745"/>
      <c r="D69" s="745"/>
      <c r="E69" s="745"/>
      <c r="F69" s="745"/>
      <c r="G69" s="745"/>
      <c r="H69" s="745"/>
      <c r="I69" s="745"/>
      <c r="J69" s="745"/>
      <c r="K69" s="745"/>
      <c r="L69" s="745"/>
    </row>
    <row r="70" spans="1:12" s="746" customFormat="1" ht="13.5">
      <c r="A70" s="745"/>
      <c r="B70" s="745"/>
      <c r="C70" s="745"/>
      <c r="D70" s="745"/>
      <c r="E70" s="745"/>
      <c r="F70" s="745"/>
      <c r="G70" s="745"/>
      <c r="H70" s="745"/>
      <c r="I70" s="745"/>
      <c r="J70" s="745"/>
      <c r="K70" s="745"/>
      <c r="L70" s="745"/>
    </row>
    <row r="71" spans="1:12" s="746" customFormat="1" ht="13.5">
      <c r="A71" s="745"/>
      <c r="B71" s="745"/>
      <c r="C71" s="745"/>
      <c r="D71" s="745"/>
      <c r="E71" s="745"/>
      <c r="F71" s="745"/>
      <c r="G71" s="745"/>
      <c r="H71" s="745"/>
      <c r="I71" s="745"/>
      <c r="J71" s="745"/>
      <c r="K71" s="745"/>
      <c r="L71" s="745"/>
    </row>
    <row r="72" spans="1:12" s="746" customFormat="1" ht="13.5">
      <c r="A72" s="745"/>
      <c r="B72" s="745"/>
      <c r="C72" s="745"/>
      <c r="D72" s="745"/>
      <c r="E72" s="745"/>
      <c r="F72" s="745"/>
      <c r="G72" s="745"/>
      <c r="H72" s="745"/>
      <c r="I72" s="745"/>
      <c r="J72" s="745"/>
      <c r="K72" s="745"/>
      <c r="L72" s="745"/>
    </row>
    <row r="73" spans="1:12" s="746" customFormat="1" ht="13.5">
      <c r="A73" s="745"/>
      <c r="B73" s="745"/>
      <c r="C73" s="745"/>
      <c r="D73" s="745"/>
      <c r="E73" s="745"/>
      <c r="F73" s="745"/>
      <c r="G73" s="745"/>
      <c r="H73" s="745"/>
      <c r="I73" s="745"/>
      <c r="J73" s="745"/>
      <c r="K73" s="745"/>
      <c r="L73" s="745"/>
    </row>
    <row r="74" spans="1:12" s="746" customFormat="1" ht="13.5">
      <c r="A74" s="745"/>
      <c r="B74" s="745"/>
      <c r="C74" s="745"/>
      <c r="D74" s="745"/>
      <c r="E74" s="745"/>
      <c r="F74" s="745"/>
      <c r="G74" s="745"/>
      <c r="H74" s="745"/>
      <c r="I74" s="745"/>
      <c r="J74" s="745"/>
      <c r="K74" s="745"/>
      <c r="L74" s="745"/>
    </row>
    <row r="75" spans="1:12" s="746" customFormat="1" ht="13.5">
      <c r="A75" s="745"/>
      <c r="B75" s="745"/>
      <c r="C75" s="745"/>
      <c r="D75" s="745"/>
      <c r="E75" s="745"/>
      <c r="F75" s="745"/>
      <c r="G75" s="745"/>
      <c r="H75" s="745"/>
      <c r="I75" s="745"/>
      <c r="J75" s="745"/>
      <c r="K75" s="745"/>
      <c r="L75" s="745"/>
    </row>
    <row r="76" spans="1:12" s="746" customFormat="1" ht="13.5">
      <c r="A76" s="745"/>
      <c r="B76" s="745"/>
      <c r="C76" s="745"/>
      <c r="D76" s="745"/>
      <c r="E76" s="745"/>
      <c r="F76" s="745"/>
      <c r="G76" s="745"/>
      <c r="H76" s="745"/>
      <c r="I76" s="745"/>
      <c r="J76" s="745"/>
      <c r="K76" s="745"/>
      <c r="L76" s="745"/>
    </row>
    <row r="77" spans="1:12" s="746" customFormat="1" ht="13.5">
      <c r="A77" s="745"/>
      <c r="B77" s="745"/>
      <c r="C77" s="745"/>
      <c r="D77" s="745"/>
      <c r="E77" s="745"/>
      <c r="F77" s="745"/>
      <c r="G77" s="745"/>
      <c r="H77" s="745"/>
      <c r="I77" s="745"/>
      <c r="J77" s="745"/>
      <c r="K77" s="745"/>
      <c r="L77" s="745"/>
    </row>
    <row r="78" spans="1:12" s="746" customFormat="1" ht="13.5">
      <c r="A78" s="745"/>
      <c r="B78" s="745"/>
      <c r="C78" s="745"/>
      <c r="D78" s="745"/>
      <c r="E78" s="745"/>
      <c r="F78" s="745"/>
      <c r="G78" s="745"/>
      <c r="H78" s="745"/>
      <c r="I78" s="745"/>
      <c r="J78" s="745"/>
      <c r="K78" s="745"/>
      <c r="L78" s="745"/>
    </row>
    <row r="79" spans="1:12" s="746" customFormat="1" ht="13.5">
      <c r="A79" s="745"/>
      <c r="B79" s="745"/>
      <c r="C79" s="745"/>
      <c r="D79" s="745"/>
      <c r="E79" s="745"/>
      <c r="F79" s="745"/>
      <c r="G79" s="745"/>
      <c r="H79" s="745"/>
      <c r="I79" s="745"/>
      <c r="J79" s="745"/>
      <c r="K79" s="745"/>
      <c r="L79" s="745"/>
    </row>
    <row r="80" spans="1:12" s="746" customFormat="1" ht="13.5">
      <c r="A80" s="745"/>
      <c r="B80" s="745"/>
      <c r="C80" s="745"/>
      <c r="D80" s="745"/>
      <c r="E80" s="745"/>
      <c r="F80" s="745"/>
      <c r="G80" s="745"/>
      <c r="H80" s="745"/>
      <c r="I80" s="745"/>
      <c r="J80" s="745"/>
      <c r="K80" s="745"/>
      <c r="L80" s="745"/>
    </row>
    <row r="81" spans="1:12" s="746" customFormat="1" ht="13.5">
      <c r="A81" s="745"/>
      <c r="B81" s="745"/>
      <c r="C81" s="745"/>
      <c r="D81" s="745"/>
      <c r="E81" s="745"/>
      <c r="F81" s="745"/>
      <c r="G81" s="745"/>
      <c r="H81" s="745"/>
      <c r="I81" s="745"/>
      <c r="J81" s="745"/>
      <c r="K81" s="745"/>
      <c r="L81" s="745"/>
    </row>
    <row r="82" spans="1:12" s="746" customFormat="1" ht="13.5">
      <c r="A82" s="745"/>
      <c r="B82" s="745"/>
      <c r="C82" s="745"/>
      <c r="D82" s="745"/>
      <c r="E82" s="745"/>
      <c r="F82" s="745"/>
      <c r="G82" s="745"/>
      <c r="H82" s="745"/>
      <c r="I82" s="745"/>
      <c r="J82" s="745"/>
      <c r="K82" s="745"/>
      <c r="L82" s="745"/>
    </row>
    <row r="83" spans="1:12" s="746" customFormat="1" ht="13.5">
      <c r="A83" s="745"/>
      <c r="B83" s="745"/>
      <c r="C83" s="745"/>
      <c r="D83" s="745"/>
      <c r="E83" s="745"/>
      <c r="F83" s="745"/>
      <c r="G83" s="745"/>
      <c r="H83" s="745"/>
      <c r="I83" s="745"/>
      <c r="J83" s="745"/>
      <c r="K83" s="745"/>
      <c r="L83" s="745"/>
    </row>
    <row r="84" spans="1:12" s="746" customFormat="1" ht="13.5">
      <c r="A84" s="745"/>
      <c r="B84" s="745"/>
      <c r="C84" s="745"/>
      <c r="D84" s="745"/>
      <c r="E84" s="745"/>
      <c r="F84" s="745"/>
      <c r="G84" s="745"/>
      <c r="H84" s="745"/>
      <c r="I84" s="745"/>
      <c r="J84" s="745"/>
      <c r="K84" s="745"/>
      <c r="L84" s="745"/>
    </row>
    <row r="85" spans="1:12" s="746" customFormat="1" ht="13.5">
      <c r="A85" s="745"/>
      <c r="B85" s="745"/>
      <c r="C85" s="745"/>
      <c r="D85" s="745"/>
      <c r="E85" s="745"/>
      <c r="F85" s="745"/>
      <c r="G85" s="745"/>
      <c r="H85" s="745"/>
      <c r="I85" s="745"/>
      <c r="J85" s="745"/>
      <c r="K85" s="745"/>
      <c r="L85" s="745"/>
    </row>
    <row r="86" spans="1:12" s="746" customFormat="1" ht="13.5">
      <c r="A86" s="745"/>
      <c r="B86" s="745"/>
      <c r="C86" s="745"/>
      <c r="D86" s="745"/>
      <c r="E86" s="745"/>
      <c r="F86" s="745"/>
      <c r="G86" s="745"/>
      <c r="H86" s="745"/>
      <c r="I86" s="745"/>
      <c r="J86" s="745"/>
      <c r="K86" s="745"/>
      <c r="L86" s="745"/>
    </row>
    <row r="87" spans="1:12" s="746" customFormat="1" ht="13.5">
      <c r="A87" s="745"/>
      <c r="B87" s="745"/>
      <c r="C87" s="745"/>
      <c r="D87" s="745"/>
      <c r="E87" s="745"/>
      <c r="F87" s="745"/>
      <c r="G87" s="745"/>
      <c r="H87" s="745"/>
      <c r="I87" s="745"/>
      <c r="J87" s="745"/>
      <c r="K87" s="745"/>
      <c r="L87" s="745"/>
    </row>
    <row r="88" spans="1:12" s="746" customFormat="1" ht="13.5">
      <c r="A88" s="745"/>
      <c r="B88" s="745"/>
      <c r="C88" s="745"/>
      <c r="D88" s="745"/>
      <c r="E88" s="745"/>
      <c r="F88" s="745"/>
      <c r="G88" s="745"/>
      <c r="H88" s="745"/>
      <c r="I88" s="745"/>
      <c r="J88" s="745"/>
      <c r="K88" s="745"/>
      <c r="L88" s="745"/>
    </row>
    <row r="89" spans="1:12" s="746" customFormat="1" ht="13.5">
      <c r="A89" s="745"/>
      <c r="B89" s="745"/>
      <c r="C89" s="745"/>
      <c r="D89" s="745"/>
      <c r="E89" s="745"/>
      <c r="F89" s="745"/>
      <c r="G89" s="745"/>
      <c r="H89" s="745"/>
      <c r="I89" s="745"/>
      <c r="J89" s="745"/>
      <c r="K89" s="745"/>
      <c r="L89" s="745"/>
    </row>
    <row r="90" spans="1:12" s="746" customFormat="1" ht="13.5">
      <c r="A90" s="745"/>
      <c r="B90" s="745"/>
      <c r="C90" s="745"/>
      <c r="D90" s="745"/>
      <c r="E90" s="745"/>
      <c r="F90" s="745"/>
      <c r="G90" s="745"/>
      <c r="H90" s="745"/>
      <c r="I90" s="745"/>
      <c r="J90" s="745"/>
      <c r="K90" s="745"/>
      <c r="L90" s="745"/>
    </row>
    <row r="91" spans="1:12" s="746" customFormat="1" ht="13.5">
      <c r="A91" s="745"/>
      <c r="B91" s="745"/>
      <c r="C91" s="745"/>
      <c r="D91" s="745"/>
      <c r="E91" s="745"/>
      <c r="F91" s="745"/>
      <c r="G91" s="745"/>
      <c r="H91" s="745"/>
      <c r="I91" s="745"/>
      <c r="J91" s="745"/>
      <c r="K91" s="745"/>
      <c r="L91" s="745"/>
    </row>
    <row r="92" spans="1:12" s="746" customFormat="1" ht="13.5">
      <c r="A92" s="745"/>
      <c r="B92" s="745"/>
      <c r="C92" s="745"/>
      <c r="D92" s="745"/>
      <c r="E92" s="745"/>
      <c r="F92" s="745"/>
      <c r="G92" s="745"/>
      <c r="H92" s="745"/>
      <c r="I92" s="745"/>
      <c r="J92" s="745"/>
      <c r="K92" s="745"/>
      <c r="L92" s="745"/>
    </row>
    <row r="93" spans="1:12" s="746" customFormat="1" ht="13.5">
      <c r="A93" s="745"/>
      <c r="B93" s="745"/>
      <c r="C93" s="745"/>
      <c r="D93" s="745"/>
      <c r="E93" s="745"/>
      <c r="F93" s="745"/>
      <c r="G93" s="745"/>
      <c r="H93" s="745"/>
      <c r="I93" s="745"/>
      <c r="J93" s="745"/>
      <c r="K93" s="745"/>
      <c r="L93" s="745"/>
    </row>
    <row r="94" spans="1:12" s="746" customFormat="1" ht="13.5">
      <c r="A94" s="745"/>
      <c r="B94" s="745"/>
      <c r="C94" s="745"/>
      <c r="D94" s="745"/>
      <c r="E94" s="745"/>
      <c r="F94" s="745"/>
      <c r="G94" s="745"/>
      <c r="H94" s="745"/>
      <c r="I94" s="745"/>
      <c r="J94" s="745"/>
      <c r="K94" s="745"/>
      <c r="L94" s="745"/>
    </row>
    <row r="95" spans="1:12" s="746" customFormat="1" ht="13.5">
      <c r="A95" s="745"/>
      <c r="B95" s="745"/>
      <c r="C95" s="745"/>
      <c r="D95" s="745"/>
      <c r="E95" s="745"/>
      <c r="F95" s="745"/>
      <c r="G95" s="745"/>
      <c r="H95" s="745"/>
      <c r="I95" s="745"/>
      <c r="J95" s="745"/>
      <c r="K95" s="745"/>
      <c r="L95" s="745"/>
    </row>
    <row r="96" spans="1:12" s="746" customFormat="1" ht="13.5">
      <c r="A96" s="745"/>
      <c r="B96" s="745"/>
      <c r="C96" s="745"/>
      <c r="D96" s="745"/>
      <c r="E96" s="745"/>
      <c r="F96" s="745"/>
      <c r="G96" s="745"/>
      <c r="H96" s="745"/>
      <c r="I96" s="745"/>
      <c r="J96" s="745"/>
      <c r="K96" s="745"/>
      <c r="L96" s="745"/>
    </row>
    <row r="97" spans="1:12" s="746" customFormat="1" ht="13.5">
      <c r="A97" s="745"/>
      <c r="B97" s="745"/>
      <c r="C97" s="745"/>
      <c r="D97" s="745"/>
      <c r="E97" s="745"/>
      <c r="F97" s="745"/>
      <c r="G97" s="745"/>
      <c r="H97" s="745"/>
      <c r="I97" s="745"/>
      <c r="J97" s="745"/>
      <c r="K97" s="745"/>
      <c r="L97" s="745"/>
    </row>
    <row r="98" spans="1:12" s="746" customFormat="1" ht="13.5">
      <c r="A98" s="745"/>
      <c r="B98" s="745"/>
      <c r="C98" s="745"/>
      <c r="D98" s="745"/>
      <c r="E98" s="745"/>
      <c r="F98" s="745"/>
      <c r="G98" s="745"/>
      <c r="H98" s="745"/>
      <c r="I98" s="745"/>
      <c r="J98" s="745"/>
      <c r="K98" s="745"/>
      <c r="L98" s="745"/>
    </row>
    <row r="99" spans="1:12" s="746" customFormat="1" ht="13.5">
      <c r="A99" s="745"/>
      <c r="B99" s="745"/>
      <c r="C99" s="745"/>
      <c r="D99" s="745"/>
      <c r="E99" s="745"/>
      <c r="F99" s="745"/>
      <c r="G99" s="745"/>
      <c r="H99" s="745"/>
      <c r="I99" s="745"/>
      <c r="J99" s="745"/>
      <c r="K99" s="745"/>
      <c r="L99" s="745"/>
    </row>
    <row r="100" spans="1:12" s="746" customFormat="1" ht="13.5">
      <c r="A100" s="745"/>
      <c r="B100" s="745"/>
      <c r="C100" s="745"/>
      <c r="D100" s="745"/>
      <c r="E100" s="745"/>
      <c r="F100" s="745"/>
      <c r="G100" s="745"/>
      <c r="H100" s="745"/>
      <c r="I100" s="745"/>
      <c r="J100" s="745"/>
      <c r="K100" s="745"/>
      <c r="L100" s="745"/>
    </row>
    <row r="101" spans="1:12" s="746" customFormat="1" ht="13.5">
      <c r="A101" s="745"/>
      <c r="B101" s="745"/>
      <c r="C101" s="745"/>
      <c r="D101" s="745"/>
      <c r="E101" s="745"/>
      <c r="F101" s="745"/>
      <c r="G101" s="745"/>
      <c r="H101" s="745"/>
      <c r="I101" s="745"/>
      <c r="J101" s="745"/>
      <c r="K101" s="745"/>
      <c r="L101" s="745"/>
    </row>
    <row r="102" spans="1:12" s="746" customFormat="1" ht="13.5">
      <c r="A102" s="745"/>
      <c r="B102" s="745"/>
      <c r="C102" s="745"/>
      <c r="D102" s="745"/>
      <c r="E102" s="745"/>
      <c r="F102" s="745"/>
      <c r="G102" s="745"/>
      <c r="H102" s="745"/>
      <c r="I102" s="745"/>
      <c r="J102" s="745"/>
      <c r="K102" s="745"/>
      <c r="L102" s="745"/>
    </row>
    <row r="103" spans="1:12" s="746" customFormat="1" ht="13.5">
      <c r="A103" s="745"/>
      <c r="B103" s="745"/>
      <c r="C103" s="745"/>
      <c r="D103" s="745"/>
      <c r="E103" s="745"/>
      <c r="F103" s="745"/>
      <c r="G103" s="745"/>
      <c r="H103" s="745"/>
      <c r="I103" s="745"/>
      <c r="J103" s="745"/>
      <c r="K103" s="745"/>
      <c r="L103" s="745"/>
    </row>
    <row r="104" spans="1:12" s="746" customFormat="1" ht="13.5">
      <c r="A104" s="745"/>
      <c r="B104" s="745"/>
      <c r="C104" s="745"/>
      <c r="D104" s="745"/>
      <c r="E104" s="745"/>
      <c r="F104" s="745"/>
      <c r="G104" s="745"/>
      <c r="H104" s="745"/>
      <c r="I104" s="745"/>
      <c r="J104" s="745"/>
      <c r="K104" s="745"/>
      <c r="L104" s="745"/>
    </row>
    <row r="105" spans="1:12" s="746" customFormat="1" ht="13.5">
      <c r="A105" s="745"/>
      <c r="B105" s="745"/>
      <c r="C105" s="745"/>
      <c r="D105" s="745"/>
      <c r="E105" s="745"/>
      <c r="F105" s="745"/>
      <c r="G105" s="745"/>
      <c r="H105" s="745"/>
      <c r="I105" s="745"/>
      <c r="J105" s="745"/>
      <c r="K105" s="745"/>
      <c r="L105" s="745"/>
    </row>
    <row r="106" spans="1:12" s="746" customFormat="1" ht="13.5">
      <c r="A106" s="745"/>
      <c r="B106" s="745"/>
      <c r="C106" s="745"/>
      <c r="D106" s="745"/>
      <c r="E106" s="745"/>
      <c r="F106" s="745"/>
      <c r="G106" s="745"/>
      <c r="H106" s="745"/>
      <c r="I106" s="745"/>
      <c r="J106" s="745"/>
      <c r="K106" s="745"/>
      <c r="L106" s="745"/>
    </row>
    <row r="107" spans="1:12" s="746" customFormat="1" ht="13.5">
      <c r="A107" s="745"/>
      <c r="B107" s="745"/>
      <c r="C107" s="745"/>
      <c r="D107" s="745"/>
      <c r="E107" s="745"/>
      <c r="F107" s="745"/>
      <c r="G107" s="745"/>
      <c r="H107" s="745"/>
      <c r="I107" s="745"/>
      <c r="J107" s="745"/>
      <c r="K107" s="745"/>
      <c r="L107" s="745"/>
    </row>
    <row r="108" spans="1:12" s="746" customFormat="1" ht="13.5">
      <c r="A108" s="745"/>
      <c r="B108" s="745"/>
      <c r="C108" s="745"/>
      <c r="D108" s="745"/>
      <c r="E108" s="745"/>
      <c r="F108" s="745"/>
      <c r="G108" s="745"/>
      <c r="H108" s="745"/>
      <c r="I108" s="745"/>
      <c r="J108" s="745"/>
      <c r="K108" s="745"/>
      <c r="L108" s="745"/>
    </row>
    <row r="109" spans="1:12" s="746" customFormat="1" ht="13.5">
      <c r="A109" s="745"/>
      <c r="B109" s="745"/>
      <c r="C109" s="745"/>
      <c r="D109" s="745"/>
      <c r="E109" s="745"/>
      <c r="F109" s="745"/>
      <c r="G109" s="745"/>
      <c r="H109" s="745"/>
      <c r="I109" s="745"/>
      <c r="J109" s="745"/>
      <c r="K109" s="745"/>
      <c r="L109" s="745"/>
    </row>
    <row r="110" spans="1:12" s="746" customFormat="1" ht="13.5">
      <c r="A110" s="745"/>
      <c r="B110" s="745"/>
      <c r="C110" s="745"/>
      <c r="D110" s="745"/>
      <c r="E110" s="745"/>
      <c r="F110" s="745"/>
      <c r="G110" s="745"/>
      <c r="H110" s="745"/>
      <c r="I110" s="745"/>
      <c r="J110" s="745"/>
      <c r="K110" s="745"/>
      <c r="L110" s="745"/>
    </row>
    <row r="111" spans="1:12" s="746" customFormat="1" ht="13.5">
      <c r="A111" s="745"/>
      <c r="B111" s="745"/>
      <c r="C111" s="745"/>
      <c r="D111" s="745"/>
      <c r="E111" s="745"/>
      <c r="F111" s="745"/>
      <c r="G111" s="745"/>
      <c r="H111" s="745"/>
      <c r="I111" s="745"/>
      <c r="J111" s="745"/>
      <c r="K111" s="745"/>
      <c r="L111" s="745"/>
    </row>
    <row r="112" spans="1:12" s="746" customFormat="1" ht="13.5">
      <c r="A112" s="745"/>
      <c r="B112" s="745"/>
      <c r="C112" s="745"/>
      <c r="D112" s="745"/>
      <c r="E112" s="745"/>
      <c r="F112" s="745"/>
      <c r="G112" s="745"/>
      <c r="H112" s="745"/>
      <c r="I112" s="745"/>
      <c r="J112" s="745"/>
      <c r="K112" s="745"/>
      <c r="L112" s="745"/>
    </row>
    <row r="113" spans="1:12" s="746" customFormat="1" ht="13.5">
      <c r="A113" s="745"/>
      <c r="B113" s="745"/>
      <c r="C113" s="745"/>
      <c r="D113" s="745"/>
      <c r="E113" s="745"/>
      <c r="F113" s="745"/>
      <c r="G113" s="745"/>
      <c r="H113" s="745"/>
      <c r="I113" s="745"/>
      <c r="J113" s="745"/>
      <c r="K113" s="745"/>
      <c r="L113" s="745"/>
    </row>
    <row r="114" spans="1:12" s="746" customFormat="1" ht="13.5">
      <c r="A114" s="745"/>
      <c r="B114" s="745"/>
      <c r="C114" s="745"/>
      <c r="D114" s="745"/>
      <c r="E114" s="745"/>
      <c r="F114" s="745"/>
      <c r="G114" s="745"/>
      <c r="H114" s="745"/>
      <c r="I114" s="745"/>
      <c r="J114" s="745"/>
      <c r="K114" s="745"/>
      <c r="L114" s="745"/>
    </row>
    <row r="115" spans="1:12" s="746" customFormat="1" ht="13.5">
      <c r="A115" s="745"/>
      <c r="B115" s="745"/>
      <c r="C115" s="745"/>
      <c r="D115" s="745"/>
      <c r="E115" s="745"/>
      <c r="F115" s="745"/>
      <c r="G115" s="745"/>
      <c r="H115" s="745"/>
      <c r="I115" s="745"/>
      <c r="J115" s="745"/>
      <c r="K115" s="745"/>
      <c r="L115" s="745"/>
    </row>
    <row r="116" spans="1:12" s="746" customFormat="1" ht="13.5">
      <c r="A116" s="745"/>
      <c r="B116" s="745"/>
      <c r="C116" s="745"/>
      <c r="D116" s="745"/>
      <c r="E116" s="745"/>
      <c r="F116" s="745"/>
      <c r="G116" s="745"/>
      <c r="H116" s="745"/>
      <c r="I116" s="745"/>
      <c r="J116" s="745"/>
      <c r="K116" s="745"/>
      <c r="L116" s="745"/>
    </row>
    <row r="117" spans="1:12" s="746" customFormat="1" ht="13.5">
      <c r="A117" s="745"/>
      <c r="B117" s="745"/>
      <c r="C117" s="745"/>
      <c r="D117" s="745"/>
      <c r="E117" s="745"/>
      <c r="F117" s="745"/>
      <c r="G117" s="745"/>
      <c r="H117" s="745"/>
      <c r="I117" s="745"/>
      <c r="J117" s="745"/>
      <c r="K117" s="745"/>
      <c r="L117" s="745"/>
    </row>
    <row r="118" spans="1:12" s="746" customFormat="1" ht="13.5">
      <c r="A118" s="745"/>
      <c r="B118" s="745"/>
      <c r="C118" s="745"/>
      <c r="D118" s="745"/>
      <c r="E118" s="745"/>
      <c r="F118" s="745"/>
      <c r="G118" s="745"/>
      <c r="H118" s="745"/>
      <c r="I118" s="745"/>
      <c r="J118" s="745"/>
      <c r="K118" s="745"/>
      <c r="L118" s="745"/>
    </row>
    <row r="119" spans="1:12" s="746" customFormat="1" ht="13.5">
      <c r="A119" s="745"/>
      <c r="B119" s="745"/>
      <c r="C119" s="745"/>
      <c r="D119" s="745"/>
      <c r="E119" s="745"/>
      <c r="F119" s="745"/>
      <c r="G119" s="745"/>
      <c r="H119" s="745"/>
      <c r="I119" s="745"/>
      <c r="J119" s="745"/>
      <c r="K119" s="745"/>
      <c r="L119" s="745"/>
    </row>
    <row r="120" spans="1:12" s="746" customFormat="1" ht="13.5">
      <c r="A120" s="745"/>
      <c r="B120" s="745"/>
      <c r="C120" s="745"/>
      <c r="D120" s="745"/>
      <c r="E120" s="745"/>
      <c r="F120" s="745"/>
      <c r="G120" s="745"/>
      <c r="H120" s="745"/>
      <c r="I120" s="745"/>
      <c r="J120" s="745"/>
      <c r="K120" s="745"/>
      <c r="L120" s="745"/>
    </row>
    <row r="121" spans="1:12" s="746" customFormat="1" ht="13.5">
      <c r="A121" s="745"/>
      <c r="B121" s="745"/>
      <c r="C121" s="745"/>
      <c r="D121" s="745"/>
      <c r="E121" s="745"/>
      <c r="F121" s="745"/>
      <c r="G121" s="745"/>
      <c r="H121" s="745"/>
      <c r="I121" s="745"/>
      <c r="J121" s="745"/>
      <c r="K121" s="745"/>
      <c r="L121" s="745"/>
    </row>
    <row r="122" spans="1:12" s="746" customFormat="1" ht="13.5">
      <c r="A122" s="745"/>
      <c r="B122" s="745"/>
      <c r="C122" s="745"/>
      <c r="D122" s="745"/>
      <c r="E122" s="745"/>
      <c r="F122" s="745"/>
      <c r="G122" s="745"/>
      <c r="H122" s="745"/>
      <c r="I122" s="745"/>
      <c r="J122" s="745"/>
      <c r="K122" s="745"/>
      <c r="L122" s="745"/>
    </row>
    <row r="123" spans="1:12" s="746" customFormat="1" ht="13.5">
      <c r="A123" s="745"/>
      <c r="B123" s="745"/>
      <c r="C123" s="745"/>
      <c r="D123" s="745"/>
      <c r="E123" s="745"/>
      <c r="F123" s="745"/>
      <c r="G123" s="745"/>
      <c r="H123" s="745"/>
      <c r="I123" s="745"/>
      <c r="J123" s="745"/>
      <c r="K123" s="745"/>
      <c r="L123" s="745"/>
    </row>
    <row r="124" spans="1:12" s="746" customFormat="1" ht="13.5">
      <c r="A124" s="745"/>
      <c r="B124" s="745"/>
      <c r="C124" s="745"/>
      <c r="D124" s="745"/>
      <c r="E124" s="745"/>
      <c r="F124" s="745"/>
      <c r="G124" s="745"/>
      <c r="H124" s="745"/>
      <c r="I124" s="745"/>
      <c r="J124" s="745"/>
      <c r="K124" s="745"/>
      <c r="L124" s="745"/>
    </row>
    <row r="125" spans="1:12" s="746" customFormat="1" ht="13.5">
      <c r="A125" s="745"/>
      <c r="B125" s="745"/>
      <c r="C125" s="745"/>
      <c r="D125" s="745"/>
      <c r="E125" s="745"/>
      <c r="F125" s="745"/>
      <c r="G125" s="745"/>
      <c r="H125" s="745"/>
      <c r="I125" s="745"/>
      <c r="J125" s="745"/>
      <c r="K125" s="745"/>
      <c r="L125" s="745"/>
    </row>
    <row r="126" spans="1:12" s="746" customFormat="1" ht="13.5">
      <c r="A126" s="745"/>
      <c r="B126" s="745"/>
      <c r="C126" s="745"/>
      <c r="D126" s="745"/>
      <c r="E126" s="745"/>
      <c r="F126" s="745"/>
      <c r="G126" s="745"/>
      <c r="H126" s="745"/>
      <c r="I126" s="745"/>
      <c r="J126" s="745"/>
      <c r="K126" s="745"/>
      <c r="L126" s="745"/>
    </row>
    <row r="127" spans="1:12" s="746" customFormat="1" ht="13.5">
      <c r="A127" s="745"/>
      <c r="B127" s="745"/>
      <c r="C127" s="745"/>
      <c r="D127" s="745"/>
      <c r="E127" s="745"/>
      <c r="F127" s="745"/>
      <c r="G127" s="745"/>
      <c r="H127" s="745"/>
      <c r="I127" s="745"/>
      <c r="J127" s="745"/>
      <c r="K127" s="745"/>
      <c r="L127" s="745"/>
    </row>
    <row r="128" spans="1:12" s="746" customFormat="1" ht="13.5">
      <c r="A128" s="745"/>
      <c r="B128" s="745"/>
      <c r="C128" s="745"/>
      <c r="D128" s="745"/>
      <c r="E128" s="745"/>
      <c r="F128" s="745"/>
      <c r="G128" s="745"/>
      <c r="H128" s="745"/>
      <c r="I128" s="745"/>
      <c r="J128" s="745"/>
      <c r="K128" s="745"/>
      <c r="L128" s="745"/>
    </row>
    <row r="129" spans="1:12" s="746" customFormat="1" ht="13.5">
      <c r="A129" s="745"/>
      <c r="B129" s="745"/>
      <c r="C129" s="745"/>
      <c r="D129" s="745"/>
      <c r="E129" s="745"/>
      <c r="F129" s="745"/>
      <c r="G129" s="745"/>
      <c r="H129" s="745"/>
      <c r="I129" s="745"/>
      <c r="J129" s="745"/>
      <c r="K129" s="745"/>
      <c r="L129" s="745"/>
    </row>
    <row r="130" spans="1:12" s="746" customFormat="1" ht="13.5">
      <c r="A130" s="745"/>
      <c r="B130" s="745"/>
      <c r="C130" s="745"/>
      <c r="D130" s="745"/>
      <c r="E130" s="745"/>
      <c r="F130" s="745"/>
      <c r="G130" s="745"/>
      <c r="H130" s="745"/>
      <c r="I130" s="745"/>
      <c r="J130" s="745"/>
      <c r="K130" s="745"/>
      <c r="L130" s="745"/>
    </row>
    <row r="131" spans="1:12" s="746" customFormat="1" ht="13.5">
      <c r="A131" s="745"/>
      <c r="B131" s="745"/>
      <c r="C131" s="745"/>
      <c r="D131" s="745"/>
      <c r="E131" s="745"/>
      <c r="F131" s="745"/>
      <c r="G131" s="745"/>
      <c r="H131" s="745"/>
      <c r="I131" s="745"/>
      <c r="J131" s="745"/>
      <c r="K131" s="745"/>
      <c r="L131" s="745"/>
    </row>
    <row r="132" spans="1:12" s="746" customFormat="1" ht="13.5">
      <c r="A132" s="745"/>
      <c r="B132" s="745"/>
      <c r="C132" s="745"/>
      <c r="D132" s="745"/>
      <c r="E132" s="745"/>
      <c r="F132" s="745"/>
      <c r="G132" s="745"/>
      <c r="H132" s="745"/>
      <c r="I132" s="745"/>
      <c r="J132" s="745"/>
      <c r="K132" s="745"/>
      <c r="L132" s="745"/>
    </row>
    <row r="133" spans="1:12" s="746" customFormat="1" ht="13.5">
      <c r="A133" s="745"/>
      <c r="B133" s="745"/>
      <c r="C133" s="745"/>
      <c r="D133" s="745"/>
      <c r="E133" s="745"/>
      <c r="F133" s="745"/>
      <c r="G133" s="745"/>
      <c r="H133" s="745"/>
      <c r="I133" s="745"/>
      <c r="J133" s="745"/>
      <c r="K133" s="745"/>
      <c r="L133" s="745"/>
    </row>
    <row r="134" spans="1:12" s="746" customFormat="1" ht="13.5">
      <c r="A134" s="745"/>
      <c r="B134" s="745"/>
      <c r="C134" s="745"/>
      <c r="D134" s="745"/>
      <c r="E134" s="745"/>
      <c r="F134" s="745"/>
      <c r="G134" s="745"/>
      <c r="H134" s="745"/>
      <c r="I134" s="745"/>
      <c r="J134" s="745"/>
      <c r="K134" s="745"/>
      <c r="L134" s="745"/>
    </row>
    <row r="135" spans="1:12" s="746" customFormat="1" ht="13.5">
      <c r="A135" s="745"/>
      <c r="B135" s="745"/>
      <c r="C135" s="745"/>
      <c r="D135" s="745"/>
      <c r="E135" s="745"/>
      <c r="F135" s="745"/>
      <c r="G135" s="745"/>
      <c r="H135" s="745"/>
      <c r="I135" s="745"/>
      <c r="J135" s="745"/>
      <c r="K135" s="745"/>
      <c r="L135" s="745"/>
    </row>
    <row r="136" spans="1:12" s="746" customFormat="1" ht="13.5">
      <c r="A136" s="745"/>
      <c r="B136" s="745"/>
      <c r="C136" s="745"/>
      <c r="D136" s="745"/>
      <c r="E136" s="745"/>
      <c r="F136" s="745"/>
      <c r="G136" s="745"/>
      <c r="H136" s="745"/>
      <c r="I136" s="745"/>
      <c r="J136" s="745"/>
      <c r="K136" s="745"/>
      <c r="L136" s="745"/>
    </row>
    <row r="137" spans="1:12" s="746" customFormat="1" ht="13.5">
      <c r="A137" s="745"/>
      <c r="B137" s="745"/>
      <c r="C137" s="745"/>
      <c r="D137" s="745"/>
      <c r="E137" s="745"/>
      <c r="F137" s="745"/>
      <c r="G137" s="745"/>
      <c r="H137" s="745"/>
      <c r="I137" s="745"/>
      <c r="J137" s="745"/>
      <c r="K137" s="745"/>
      <c r="L137" s="745"/>
    </row>
    <row r="138" spans="1:12" s="746" customFormat="1" ht="13.5">
      <c r="A138" s="745"/>
      <c r="B138" s="745"/>
      <c r="C138" s="745"/>
      <c r="D138" s="745"/>
      <c r="E138" s="745"/>
      <c r="F138" s="745"/>
      <c r="G138" s="745"/>
      <c r="H138" s="745"/>
      <c r="I138" s="745"/>
      <c r="J138" s="745"/>
      <c r="K138" s="745"/>
      <c r="L138" s="745"/>
    </row>
    <row r="139" spans="1:12" s="746" customFormat="1" ht="13.5">
      <c r="A139" s="745"/>
      <c r="B139" s="745"/>
      <c r="C139" s="745"/>
      <c r="D139" s="745"/>
      <c r="E139" s="745"/>
      <c r="F139" s="745"/>
      <c r="G139" s="745"/>
      <c r="H139" s="745"/>
      <c r="I139" s="745"/>
      <c r="J139" s="745"/>
      <c r="K139" s="745"/>
      <c r="L139" s="745"/>
    </row>
    <row r="140" spans="1:12" s="746" customFormat="1" ht="13.5">
      <c r="A140" s="745"/>
      <c r="B140" s="745"/>
      <c r="C140" s="745"/>
      <c r="D140" s="745"/>
      <c r="E140" s="745"/>
      <c r="F140" s="745"/>
      <c r="G140" s="745"/>
      <c r="H140" s="745"/>
      <c r="I140" s="745"/>
      <c r="J140" s="745"/>
      <c r="K140" s="745"/>
      <c r="L140" s="745"/>
    </row>
    <row r="141" spans="1:12" s="746" customFormat="1" ht="13.5">
      <c r="A141" s="745"/>
      <c r="B141" s="745"/>
      <c r="C141" s="745"/>
      <c r="D141" s="745"/>
      <c r="E141" s="745"/>
      <c r="F141" s="745"/>
      <c r="G141" s="745"/>
      <c r="H141" s="745"/>
      <c r="I141" s="745"/>
      <c r="J141" s="745"/>
      <c r="K141" s="745"/>
      <c r="L141" s="745"/>
    </row>
    <row r="142" spans="1:12" s="746" customFormat="1" ht="13.5">
      <c r="A142" s="745"/>
      <c r="B142" s="745"/>
      <c r="C142" s="745"/>
      <c r="D142" s="745"/>
      <c r="E142" s="745"/>
      <c r="F142" s="745"/>
      <c r="G142" s="745"/>
      <c r="H142" s="745"/>
      <c r="I142" s="745"/>
      <c r="J142" s="745"/>
      <c r="K142" s="745"/>
      <c r="L142" s="745"/>
    </row>
    <row r="143" spans="1:12" s="746" customFormat="1" ht="13.5">
      <c r="A143" s="745"/>
      <c r="B143" s="745"/>
      <c r="C143" s="745"/>
      <c r="D143" s="745"/>
      <c r="E143" s="745"/>
      <c r="F143" s="745"/>
      <c r="G143" s="745"/>
      <c r="H143" s="745"/>
      <c r="I143" s="745"/>
      <c r="J143" s="745"/>
      <c r="K143" s="745"/>
      <c r="L143" s="745"/>
    </row>
    <row r="144" spans="1:12" s="746" customFormat="1" ht="13.5">
      <c r="A144" s="745"/>
      <c r="B144" s="745"/>
      <c r="C144" s="745"/>
      <c r="D144" s="745"/>
      <c r="E144" s="745"/>
      <c r="F144" s="745"/>
      <c r="G144" s="745"/>
      <c r="H144" s="745"/>
      <c r="I144" s="745"/>
      <c r="J144" s="745"/>
      <c r="K144" s="745"/>
      <c r="L144" s="745"/>
    </row>
    <row r="145" spans="1:12" s="746" customFormat="1" ht="13.5">
      <c r="A145" s="745"/>
      <c r="B145" s="745"/>
      <c r="C145" s="745"/>
      <c r="D145" s="745"/>
      <c r="E145" s="745"/>
      <c r="F145" s="745"/>
      <c r="G145" s="745"/>
      <c r="H145" s="745"/>
      <c r="I145" s="745"/>
      <c r="J145" s="745"/>
      <c r="K145" s="745"/>
      <c r="L145" s="745"/>
    </row>
    <row r="146" spans="1:12" s="746" customFormat="1" ht="13.5">
      <c r="A146" s="745"/>
      <c r="B146" s="745"/>
      <c r="C146" s="745"/>
      <c r="D146" s="745"/>
      <c r="E146" s="745"/>
      <c r="F146" s="745"/>
      <c r="G146" s="745"/>
      <c r="H146" s="745"/>
      <c r="I146" s="745"/>
      <c r="J146" s="745"/>
      <c r="K146" s="745"/>
      <c r="L146" s="745"/>
    </row>
  </sheetData>
  <sheetProtection sheet="1" insertColumns="0" insertRows="0"/>
  <printOption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L62"/>
  <sheetViews>
    <sheetView zoomScalePageLayoutView="0" workbookViewId="0" topLeftCell="A1">
      <selection activeCell="C17" sqref="C17"/>
    </sheetView>
  </sheetViews>
  <sheetFormatPr defaultColWidth="9.140625" defaultRowHeight="12.75"/>
  <cols>
    <col min="1" max="1" width="2.00390625" style="14" bestFit="1" customWidth="1"/>
    <col min="2" max="2" width="21.28125" style="14" customWidth="1"/>
    <col min="3" max="3" width="18.421875" style="14" customWidth="1"/>
    <col min="4" max="4" width="16.00390625" style="14" customWidth="1"/>
    <col min="5" max="5" width="11.57421875" style="14" customWidth="1"/>
    <col min="6" max="6" width="17.7109375" style="14" customWidth="1"/>
    <col min="7" max="7" width="15.7109375" style="14" customWidth="1"/>
    <col min="8" max="8" width="12.7109375" style="14" customWidth="1"/>
    <col min="9" max="9" width="10.421875" style="14" customWidth="1"/>
    <col min="10" max="10" width="10.140625" style="14" customWidth="1"/>
    <col min="11" max="16384" width="9.140625" style="14" customWidth="1"/>
  </cols>
  <sheetData>
    <row r="1" ht="12.75">
      <c r="B1" s="15" t="s">
        <v>212</v>
      </c>
    </row>
    <row r="2" spans="1:2" ht="12.75">
      <c r="A2" s="14">
        <v>1</v>
      </c>
      <c r="B2" s="551" t="s">
        <v>720</v>
      </c>
    </row>
    <row r="3" spans="1:3" ht="12.75">
      <c r="A3" s="14">
        <v>2</v>
      </c>
      <c r="B3" s="375" t="s">
        <v>347</v>
      </c>
      <c r="C3" s="375"/>
    </row>
    <row r="4" spans="1:2" ht="12.75">
      <c r="A4" s="14">
        <v>3</v>
      </c>
      <c r="B4" s="14" t="s">
        <v>301</v>
      </c>
    </row>
    <row r="5" spans="1:2" ht="12.75">
      <c r="A5" s="14">
        <v>4</v>
      </c>
      <c r="B5" s="551" t="s">
        <v>721</v>
      </c>
    </row>
    <row r="6" spans="1:11" ht="12.75">
      <c r="A6" s="14">
        <v>5</v>
      </c>
      <c r="B6" s="130" t="s">
        <v>51</v>
      </c>
      <c r="C6" s="130"/>
      <c r="D6" s="130"/>
      <c r="E6" s="130"/>
      <c r="F6" s="130"/>
      <c r="G6" s="130"/>
      <c r="H6" s="130"/>
      <c r="I6" s="130"/>
      <c r="J6" s="130"/>
      <c r="K6" s="130"/>
    </row>
    <row r="7" spans="1:2" ht="12.75">
      <c r="A7" s="14">
        <v>6</v>
      </c>
      <c r="B7" s="551" t="s">
        <v>812</v>
      </c>
    </row>
    <row r="8" ht="13.5" thickBot="1">
      <c r="B8" s="15" t="s">
        <v>241</v>
      </c>
    </row>
    <row r="9" spans="2:10" ht="13.5" thickBot="1">
      <c r="B9" s="521" t="s">
        <v>349</v>
      </c>
      <c r="C9" s="85" t="s">
        <v>288</v>
      </c>
      <c r="D9" s="1383" t="s">
        <v>289</v>
      </c>
      <c r="E9" s="1384"/>
      <c r="F9" s="1384"/>
      <c r="G9" s="1384"/>
      <c r="H9" s="1384"/>
      <c r="I9" s="1384"/>
      <c r="J9" s="1385"/>
    </row>
    <row r="10" spans="2:10" ht="13.5" thickBot="1">
      <c r="B10" s="522" t="s">
        <v>290</v>
      </c>
      <c r="C10" s="523">
        <f>'Basic Info'!C15</f>
        <v>0</v>
      </c>
      <c r="D10" s="1386" t="s">
        <v>302</v>
      </c>
      <c r="E10" s="1384"/>
      <c r="F10" s="1384"/>
      <c r="G10" s="1384"/>
      <c r="H10" s="1384"/>
      <c r="I10" s="1384"/>
      <c r="J10" s="1385"/>
    </row>
    <row r="11" spans="2:10" ht="13.5" thickBot="1">
      <c r="B11" s="524" t="s">
        <v>303</v>
      </c>
      <c r="C11" s="92">
        <f>SUM('Basic Info'!C16:C27)</f>
        <v>0</v>
      </c>
      <c r="D11" s="1387" t="s">
        <v>641</v>
      </c>
      <c r="E11" s="1384"/>
      <c r="F11" s="1384"/>
      <c r="G11" s="1384"/>
      <c r="H11" s="1384"/>
      <c r="I11" s="1384"/>
      <c r="J11" s="1385"/>
    </row>
    <row r="12" spans="2:10" ht="13.5" thickBot="1">
      <c r="B12" s="525" t="s">
        <v>304</v>
      </c>
      <c r="C12" s="526">
        <f>'Basic Info'!C29</f>
        <v>0</v>
      </c>
      <c r="D12" s="1387" t="s">
        <v>642</v>
      </c>
      <c r="E12" s="1388"/>
      <c r="F12" s="1388"/>
      <c r="G12" s="1388"/>
      <c r="H12" s="1388"/>
      <c r="I12" s="1388"/>
      <c r="J12" s="1389"/>
    </row>
    <row r="13" spans="2:10" ht="13.5" thickBot="1">
      <c r="B13" s="525" t="s">
        <v>298</v>
      </c>
      <c r="C13" s="526">
        <f>'Basic Info'!C28</f>
        <v>0</v>
      </c>
      <c r="D13" s="1387" t="s">
        <v>640</v>
      </c>
      <c r="E13" s="1384"/>
      <c r="F13" s="1384"/>
      <c r="G13" s="1384"/>
      <c r="H13" s="1384"/>
      <c r="I13" s="1384"/>
      <c r="J13" s="1385"/>
    </row>
    <row r="14" spans="2:3" ht="13.5" thickBot="1">
      <c r="B14" s="527" t="s">
        <v>305</v>
      </c>
      <c r="C14" s="528">
        <f>SUM(C10:C12)</f>
        <v>0</v>
      </c>
    </row>
    <row r="15" ht="12.75"/>
    <row r="16" ht="13.5" thickBot="1">
      <c r="B16" s="15" t="s">
        <v>306</v>
      </c>
    </row>
    <row r="17" spans="2:4" ht="13.5" thickBot="1">
      <c r="B17" s="522" t="s">
        <v>307</v>
      </c>
      <c r="C17" s="866"/>
      <c r="D17" s="80" t="s">
        <v>308</v>
      </c>
    </row>
    <row r="18" spans="2:11" ht="13.5" thickBot="1">
      <c r="B18" s="524" t="s">
        <v>300</v>
      </c>
      <c r="C18" s="822"/>
      <c r="D18" s="61" t="s">
        <v>309</v>
      </c>
      <c r="K18" s="747"/>
    </row>
    <row r="19" spans="2:11" ht="13.5" thickBot="1">
      <c r="B19" s="524" t="s">
        <v>468</v>
      </c>
      <c r="C19" s="822"/>
      <c r="D19" s="61" t="s">
        <v>12</v>
      </c>
      <c r="K19" s="747"/>
    </row>
    <row r="20" ht="12.75"/>
    <row r="21" ht="13.5" thickBot="1">
      <c r="B21" s="15" t="s">
        <v>310</v>
      </c>
    </row>
    <row r="22" spans="2:10" ht="13.5" thickBot="1">
      <c r="B22" s="529"/>
      <c r="C22" s="1378" t="s">
        <v>206</v>
      </c>
      <c r="D22" s="1379"/>
      <c r="E22" s="1380"/>
      <c r="F22" s="1378" t="s">
        <v>207</v>
      </c>
      <c r="G22" s="1379"/>
      <c r="H22" s="1381"/>
      <c r="I22" s="1114" t="s">
        <v>579</v>
      </c>
      <c r="J22" s="902" t="s">
        <v>312</v>
      </c>
    </row>
    <row r="23" spans="2:10" ht="13.5" thickBot="1">
      <c r="B23" s="530"/>
      <c r="C23" s="95" t="s">
        <v>13</v>
      </c>
      <c r="D23" s="531" t="s">
        <v>313</v>
      </c>
      <c r="E23" s="89" t="s">
        <v>317</v>
      </c>
      <c r="F23" s="95" t="s">
        <v>13</v>
      </c>
      <c r="G23" s="90" t="s">
        <v>313</v>
      </c>
      <c r="H23" s="90" t="s">
        <v>317</v>
      </c>
      <c r="I23" s="1115"/>
      <c r="J23" s="1382"/>
    </row>
    <row r="24" spans="2:10" ht="13.5" thickBot="1">
      <c r="B24" s="524" t="s">
        <v>318</v>
      </c>
      <c r="C24" s="92" t="e">
        <f>100000*SUMIF('Results from eQUEST'!$AX$7:$BI$7,B24,'Results from eQUEST'!$AX$17:$BI$17)</f>
        <v>#DIV/0!</v>
      </c>
      <c r="D24" s="532" t="e">
        <f>3412*SUMIF('Results from eQUEST'!$L$7:$W$7,'Simulation Summary'!B24,'Results from eQUEST'!$L$17:$W$17)</f>
        <v>#DIV/0!</v>
      </c>
      <c r="E24" s="533" t="e">
        <f aca="true" t="shared" si="0" ref="E24:E29">C24/100000*$C$18+D24/3412*$C$17</f>
        <v>#DIV/0!</v>
      </c>
      <c r="F24" s="532">
        <f>100000*SUMIF('Results from eQUEST'!$AX$7:$BI$7,B24,'Results from eQUEST'!$AX$19:$BI$19)</f>
        <v>0</v>
      </c>
      <c r="G24" s="532">
        <f>3412*SUMIF('Results from eQUEST'!$L$7:$W$7,'Simulation Summary'!B24,'Results from eQUEST'!$L$19:$W$19)</f>
        <v>0</v>
      </c>
      <c r="H24" s="534">
        <f aca="true" t="shared" si="1" ref="H24:H29">F24/100000*$C$18+G24/3412*$C$17</f>
        <v>0</v>
      </c>
      <c r="I24" s="535" t="e">
        <f aca="true" t="shared" si="2" ref="I24:I32">IF(SUM(C24:D24)=0,0,(SUM(C24:D24)-SUM(F24:G24))/SUM(C24:D24))</f>
        <v>#DIV/0!</v>
      </c>
      <c r="J24" s="536" t="e">
        <f aca="true" t="shared" si="3" ref="J24:J32">IF(E24=0,0,(E24-H24)/E24)</f>
        <v>#DIV/0!</v>
      </c>
    </row>
    <row r="25" spans="2:10" ht="13.5" thickBot="1">
      <c r="B25" s="524" t="s">
        <v>319</v>
      </c>
      <c r="C25" s="92" t="e">
        <f>100000*SUMIF('Results from eQUEST'!$AX$7:$BI$7,B25,'Results from eQUEST'!$AX$17:$BI$17)</f>
        <v>#DIV/0!</v>
      </c>
      <c r="D25" s="532" t="e">
        <f>3412*SUMIF('Results from eQUEST'!$L$7:$W$7,'Simulation Summary'!B25,'Results from eQUEST'!$L$17:$W$17)</f>
        <v>#DIV/0!</v>
      </c>
      <c r="E25" s="533" t="e">
        <f t="shared" si="0"/>
        <v>#DIV/0!</v>
      </c>
      <c r="F25" s="532">
        <f>100000*SUMIF('Results from eQUEST'!$AX$7:$BI$7,B25,'Results from eQUEST'!$AX$19:$BI$19)</f>
        <v>0</v>
      </c>
      <c r="G25" s="532">
        <f>3412*SUMIF('Results from eQUEST'!$L$7:$W$7,'Simulation Summary'!B25,'Results from eQUEST'!$L$19:$W$19)</f>
        <v>0</v>
      </c>
      <c r="H25" s="534">
        <f t="shared" si="1"/>
        <v>0</v>
      </c>
      <c r="I25" s="535" t="e">
        <f t="shared" si="2"/>
        <v>#DIV/0!</v>
      </c>
      <c r="J25" s="536" t="e">
        <f t="shared" si="3"/>
        <v>#DIV/0!</v>
      </c>
    </row>
    <row r="26" spans="2:10" ht="13.5" thickBot="1">
      <c r="B26" s="524" t="s">
        <v>320</v>
      </c>
      <c r="C26" s="92" t="e">
        <f>100000*SUMIF('Results from eQUEST'!$AX$7:$BI$7,B26,'Results from eQUEST'!$AX$17:$BI$17)</f>
        <v>#DIV/0!</v>
      </c>
      <c r="D26" s="532" t="e">
        <f>3412*SUMIF('Results from eQUEST'!$L$7:$W$7,'Simulation Summary'!B26,'Results from eQUEST'!$L$17:$W$17)</f>
        <v>#DIV/0!</v>
      </c>
      <c r="E26" s="533" t="e">
        <f t="shared" si="0"/>
        <v>#DIV/0!</v>
      </c>
      <c r="F26" s="532">
        <f>100000*SUMIF('Results from eQUEST'!$AX$7:$BI$7,B26,'Results from eQUEST'!$AX$19:$BI$19)</f>
        <v>0</v>
      </c>
      <c r="G26" s="532">
        <f>3412*SUMIF('Results from eQUEST'!$L$7:$W$7,'Simulation Summary'!B26,'Results from eQUEST'!$L$19:$W$19)</f>
        <v>0</v>
      </c>
      <c r="H26" s="534">
        <f t="shared" si="1"/>
        <v>0</v>
      </c>
      <c r="I26" s="535" t="e">
        <f t="shared" si="2"/>
        <v>#DIV/0!</v>
      </c>
      <c r="J26" s="536" t="e">
        <f t="shared" si="3"/>
        <v>#DIV/0!</v>
      </c>
    </row>
    <row r="27" spans="2:12" ht="13.5" thickBot="1">
      <c r="B27" s="524" t="s">
        <v>321</v>
      </c>
      <c r="C27" s="92" t="e">
        <f>100000*SUMIF('Results from eQUEST'!$AX$7:$BI$7,B27,'Results from eQUEST'!$AX$17:$BI$17)</f>
        <v>#DIV/0!</v>
      </c>
      <c r="D27" s="532" t="e">
        <f>3412*SUMIF('Results from eQUEST'!$L$7:$W$7,'Simulation Summary'!B27,'Results from eQUEST'!$L$17:$W$17)</f>
        <v>#DIV/0!</v>
      </c>
      <c r="E27" s="533" t="e">
        <f t="shared" si="0"/>
        <v>#DIV/0!</v>
      </c>
      <c r="F27" s="532">
        <f>100000*SUMIF('Results from eQUEST'!$AX$7:$BI$7,B27,'Results from eQUEST'!$AX$19:$BI$19)</f>
        <v>0</v>
      </c>
      <c r="G27" s="532">
        <f>3412*SUMIF('Results from eQUEST'!$L$7:$W$7,'Simulation Summary'!B27,'Results from eQUEST'!$L$19:$W$19)</f>
        <v>0</v>
      </c>
      <c r="H27" s="534">
        <f t="shared" si="1"/>
        <v>0</v>
      </c>
      <c r="I27" s="535" t="e">
        <f t="shared" si="2"/>
        <v>#DIV/0!</v>
      </c>
      <c r="J27" s="536" t="e">
        <f t="shared" si="3"/>
        <v>#DIV/0!</v>
      </c>
      <c r="L27" s="551"/>
    </row>
    <row r="28" spans="2:10" ht="13.5" thickBot="1">
      <c r="B28" s="524" t="s">
        <v>322</v>
      </c>
      <c r="C28" s="92" t="e">
        <f>100000*SUMIF('Results from eQUEST'!$AX$7:$BI$7,B28,'Results from eQUEST'!$AX$17:$BI$17)</f>
        <v>#DIV/0!</v>
      </c>
      <c r="D28" s="532" t="e">
        <f>3412*SUMIF('Results from eQUEST'!$L$7:$W$7,'Simulation Summary'!B28,'Results from eQUEST'!$L$17:$W$17)</f>
        <v>#DIV/0!</v>
      </c>
      <c r="E28" s="533" t="e">
        <f t="shared" si="0"/>
        <v>#DIV/0!</v>
      </c>
      <c r="F28" s="532">
        <f>100000*SUMIF('Results from eQUEST'!$AX$7:$BI$7,B28,'Results from eQUEST'!$AX$19:$BI$19)</f>
        <v>0</v>
      </c>
      <c r="G28" s="532">
        <f>3412*SUMIF('Results from eQUEST'!$L$7:$W$7,'Simulation Summary'!B28,'Results from eQUEST'!$L$19:$W$19)</f>
        <v>0</v>
      </c>
      <c r="H28" s="534">
        <f t="shared" si="1"/>
        <v>0</v>
      </c>
      <c r="I28" s="535" t="e">
        <f t="shared" si="2"/>
        <v>#DIV/0!</v>
      </c>
      <c r="J28" s="536" t="e">
        <f t="shared" si="3"/>
        <v>#DIV/0!</v>
      </c>
    </row>
    <row r="29" spans="2:10" ht="13.5" thickBot="1">
      <c r="B29" s="524" t="s">
        <v>323</v>
      </c>
      <c r="C29" s="92" t="e">
        <f>100000*SUMIF('Results from eQUEST'!$AX$7:$BI$7,B29,'Results from eQUEST'!$AX$17:$BI$17)</f>
        <v>#DIV/0!</v>
      </c>
      <c r="D29" s="532" t="e">
        <f>3412*SUMIF('Results from eQUEST'!$L$7:$W$7,'Simulation Summary'!B29,'Results from eQUEST'!$L$17:$W$17)</f>
        <v>#DIV/0!</v>
      </c>
      <c r="E29" s="533" t="e">
        <f t="shared" si="0"/>
        <v>#DIV/0!</v>
      </c>
      <c r="F29" s="532">
        <f>100000*SUMIF('Results from eQUEST'!$AX$7:$BI$7,B29,'Results from eQUEST'!$AX$19:$BI$19)</f>
        <v>0</v>
      </c>
      <c r="G29" s="532">
        <f>3412*SUMIF('Results from eQUEST'!$L$7:$W$7,'Simulation Summary'!B29,'Results from eQUEST'!$L$19:$W$19)</f>
        <v>0</v>
      </c>
      <c r="H29" s="534">
        <f t="shared" si="1"/>
        <v>0</v>
      </c>
      <c r="I29" s="535" t="e">
        <f t="shared" si="2"/>
        <v>#DIV/0!</v>
      </c>
      <c r="J29" s="536" t="e">
        <f t="shared" si="3"/>
        <v>#DIV/0!</v>
      </c>
    </row>
    <row r="30" spans="2:11" ht="13.5" thickBot="1">
      <c r="B30" s="537" t="s">
        <v>809</v>
      </c>
      <c r="C30" s="92" t="e">
        <f aca="true" t="shared" si="4" ref="C30:H30">SUM(C24:C29)</f>
        <v>#DIV/0!</v>
      </c>
      <c r="D30" s="92" t="e">
        <f t="shared" si="4"/>
        <v>#DIV/0!</v>
      </c>
      <c r="E30" s="538" t="e">
        <f t="shared" si="4"/>
        <v>#DIV/0!</v>
      </c>
      <c r="F30" s="539">
        <f t="shared" si="4"/>
        <v>0</v>
      </c>
      <c r="G30" s="539">
        <f t="shared" si="4"/>
        <v>0</v>
      </c>
      <c r="H30" s="540">
        <f t="shared" si="4"/>
        <v>0</v>
      </c>
      <c r="I30" s="541" t="e">
        <f t="shared" si="2"/>
        <v>#DIV/0!</v>
      </c>
      <c r="J30" s="542" t="e">
        <f t="shared" si="3"/>
        <v>#DIV/0!</v>
      </c>
      <c r="K30" s="551"/>
    </row>
    <row r="31" spans="2:11" ht="13.5" thickBot="1">
      <c r="B31" s="585" t="s">
        <v>810</v>
      </c>
      <c r="C31" s="92">
        <v>0</v>
      </c>
      <c r="D31" s="532">
        <v>0</v>
      </c>
      <c r="E31" s="533">
        <f>C31/100000*$C$18+D31/3412*$C$17</f>
        <v>0</v>
      </c>
      <c r="F31" s="866"/>
      <c r="G31" s="866"/>
      <c r="H31" s="534">
        <f>F31/100000*$C$18+G31/3412*$C$17</f>
        <v>0</v>
      </c>
      <c r="I31" s="535">
        <f t="shared" si="2"/>
        <v>0</v>
      </c>
      <c r="J31" s="536">
        <f t="shared" si="3"/>
        <v>0</v>
      </c>
      <c r="K31" s="551"/>
    </row>
    <row r="32" spans="2:11" ht="13.5" thickBot="1">
      <c r="B32" s="584" t="s">
        <v>811</v>
      </c>
      <c r="C32" s="92" t="e">
        <f>SUM(C24:C29)</f>
        <v>#DIV/0!</v>
      </c>
      <c r="D32" s="92" t="e">
        <f>SUM(D24:D29)</f>
        <v>#DIV/0!</v>
      </c>
      <c r="E32" s="538" t="e">
        <f>SUM(E24:E29)</f>
        <v>#DIV/0!</v>
      </c>
      <c r="F32" s="539">
        <f>F30+F31</f>
        <v>0</v>
      </c>
      <c r="G32" s="539">
        <f>G30+G31</f>
        <v>0</v>
      </c>
      <c r="H32" s="540">
        <f>SUM(H24:H29)+H31</f>
        <v>0</v>
      </c>
      <c r="I32" s="541" t="e">
        <f t="shared" si="2"/>
        <v>#DIV/0!</v>
      </c>
      <c r="J32" s="583" t="e">
        <f t="shared" si="3"/>
        <v>#DIV/0!</v>
      </c>
      <c r="K32" s="551"/>
    </row>
    <row r="33" ht="13.5" thickBot="1">
      <c r="G33" s="692"/>
    </row>
    <row r="34" spans="7:9" ht="13.5" thickBot="1">
      <c r="G34" s="748"/>
      <c r="H34" s="533" t="e">
        <f>F32*C18/100000/('Reporting Summary'!I31)/12</f>
        <v>#DIV/0!</v>
      </c>
      <c r="I34" s="16" t="s">
        <v>576</v>
      </c>
    </row>
    <row r="35" spans="7:9" ht="13.5" thickBot="1">
      <c r="G35" s="748"/>
      <c r="H35" s="533" t="e">
        <f>G32*C17/3412/12/('Reporting Summary'!I31)</f>
        <v>#DIV/0!</v>
      </c>
      <c r="I35" s="16" t="s">
        <v>575</v>
      </c>
    </row>
    <row r="37" ht="13.5" thickBot="1">
      <c r="B37" s="15" t="s">
        <v>748</v>
      </c>
    </row>
    <row r="38" spans="2:10" ht="13.5" thickBot="1">
      <c r="B38" s="529"/>
      <c r="C38" s="1378" t="s">
        <v>206</v>
      </c>
      <c r="D38" s="1379"/>
      <c r="E38" s="1380"/>
      <c r="F38" s="1378" t="s">
        <v>207</v>
      </c>
      <c r="G38" s="1379"/>
      <c r="H38" s="1381"/>
      <c r="I38" s="1114" t="s">
        <v>579</v>
      </c>
      <c r="J38" s="902" t="s">
        <v>312</v>
      </c>
    </row>
    <row r="39" spans="2:10" ht="15" customHeight="1" thickBot="1">
      <c r="B39" s="530"/>
      <c r="C39" s="567" t="s">
        <v>747</v>
      </c>
      <c r="D39" s="531" t="s">
        <v>746</v>
      </c>
      <c r="E39" s="89" t="s">
        <v>317</v>
      </c>
      <c r="F39" s="567" t="s">
        <v>747</v>
      </c>
      <c r="G39" s="90" t="s">
        <v>746</v>
      </c>
      <c r="H39" s="90" t="s">
        <v>317</v>
      </c>
      <c r="I39" s="1115"/>
      <c r="J39" s="1382"/>
    </row>
    <row r="40" spans="2:10" ht="13.5" thickBot="1">
      <c r="B40" s="524" t="s">
        <v>318</v>
      </c>
      <c r="C40" s="92" t="e">
        <f aca="true" t="shared" si="5" ref="C40:C45">C24/100000</f>
        <v>#DIV/0!</v>
      </c>
      <c r="D40" s="532" t="e">
        <f aca="true" t="shared" si="6" ref="D40:D45">D24/3412</f>
        <v>#DIV/0!</v>
      </c>
      <c r="E40" s="533" t="e">
        <f aca="true" t="shared" si="7" ref="E40:E45">E24</f>
        <v>#DIV/0!</v>
      </c>
      <c r="F40" s="532">
        <f aca="true" t="shared" si="8" ref="F40:F45">F24/100000</f>
        <v>0</v>
      </c>
      <c r="G40" s="532">
        <f aca="true" t="shared" si="9" ref="G40:G45">G24/3412</f>
        <v>0</v>
      </c>
      <c r="H40" s="534">
        <f aca="true" t="shared" si="10" ref="H40:J45">H24</f>
        <v>0</v>
      </c>
      <c r="I40" s="535" t="e">
        <f t="shared" si="10"/>
        <v>#DIV/0!</v>
      </c>
      <c r="J40" s="536" t="e">
        <f t="shared" si="10"/>
        <v>#DIV/0!</v>
      </c>
    </row>
    <row r="41" spans="2:10" ht="13.5" thickBot="1">
      <c r="B41" s="524" t="s">
        <v>319</v>
      </c>
      <c r="C41" s="92" t="e">
        <f t="shared" si="5"/>
        <v>#DIV/0!</v>
      </c>
      <c r="D41" s="532" t="e">
        <f t="shared" si="6"/>
        <v>#DIV/0!</v>
      </c>
      <c r="E41" s="533" t="e">
        <f t="shared" si="7"/>
        <v>#DIV/0!</v>
      </c>
      <c r="F41" s="532">
        <f t="shared" si="8"/>
        <v>0</v>
      </c>
      <c r="G41" s="532">
        <f t="shared" si="9"/>
        <v>0</v>
      </c>
      <c r="H41" s="534">
        <f t="shared" si="10"/>
        <v>0</v>
      </c>
      <c r="I41" s="535" t="e">
        <f t="shared" si="10"/>
        <v>#DIV/0!</v>
      </c>
      <c r="J41" s="536" t="e">
        <f t="shared" si="10"/>
        <v>#DIV/0!</v>
      </c>
    </row>
    <row r="42" spans="2:10" ht="13.5" thickBot="1">
      <c r="B42" s="524" t="s">
        <v>320</v>
      </c>
      <c r="C42" s="92" t="e">
        <f t="shared" si="5"/>
        <v>#DIV/0!</v>
      </c>
      <c r="D42" s="532" t="e">
        <f t="shared" si="6"/>
        <v>#DIV/0!</v>
      </c>
      <c r="E42" s="533" t="e">
        <f t="shared" si="7"/>
        <v>#DIV/0!</v>
      </c>
      <c r="F42" s="532">
        <f t="shared" si="8"/>
        <v>0</v>
      </c>
      <c r="G42" s="532">
        <f t="shared" si="9"/>
        <v>0</v>
      </c>
      <c r="H42" s="534">
        <f t="shared" si="10"/>
        <v>0</v>
      </c>
      <c r="I42" s="535" t="e">
        <f t="shared" si="10"/>
        <v>#DIV/0!</v>
      </c>
      <c r="J42" s="536" t="e">
        <f t="shared" si="10"/>
        <v>#DIV/0!</v>
      </c>
    </row>
    <row r="43" spans="2:10" ht="13.5" thickBot="1">
      <c r="B43" s="524" t="s">
        <v>321</v>
      </c>
      <c r="C43" s="92" t="e">
        <f t="shared" si="5"/>
        <v>#DIV/0!</v>
      </c>
      <c r="D43" s="532" t="e">
        <f t="shared" si="6"/>
        <v>#DIV/0!</v>
      </c>
      <c r="E43" s="533" t="e">
        <f t="shared" si="7"/>
        <v>#DIV/0!</v>
      </c>
      <c r="F43" s="532">
        <f t="shared" si="8"/>
        <v>0</v>
      </c>
      <c r="G43" s="532">
        <f t="shared" si="9"/>
        <v>0</v>
      </c>
      <c r="H43" s="534">
        <f t="shared" si="10"/>
        <v>0</v>
      </c>
      <c r="I43" s="535" t="e">
        <f t="shared" si="10"/>
        <v>#DIV/0!</v>
      </c>
      <c r="J43" s="536" t="e">
        <f t="shared" si="10"/>
        <v>#DIV/0!</v>
      </c>
    </row>
    <row r="44" spans="2:10" ht="13.5" thickBot="1">
      <c r="B44" s="524" t="s">
        <v>322</v>
      </c>
      <c r="C44" s="92" t="e">
        <f t="shared" si="5"/>
        <v>#DIV/0!</v>
      </c>
      <c r="D44" s="532" t="e">
        <f t="shared" si="6"/>
        <v>#DIV/0!</v>
      </c>
      <c r="E44" s="533" t="e">
        <f t="shared" si="7"/>
        <v>#DIV/0!</v>
      </c>
      <c r="F44" s="532">
        <f t="shared" si="8"/>
        <v>0</v>
      </c>
      <c r="G44" s="532">
        <f t="shared" si="9"/>
        <v>0</v>
      </c>
      <c r="H44" s="534">
        <f t="shared" si="10"/>
        <v>0</v>
      </c>
      <c r="I44" s="535" t="e">
        <f t="shared" si="10"/>
        <v>#DIV/0!</v>
      </c>
      <c r="J44" s="536" t="e">
        <f t="shared" si="10"/>
        <v>#DIV/0!</v>
      </c>
    </row>
    <row r="45" spans="2:10" ht="13.5" thickBot="1">
      <c r="B45" s="524" t="s">
        <v>323</v>
      </c>
      <c r="C45" s="92" t="e">
        <f t="shared" si="5"/>
        <v>#DIV/0!</v>
      </c>
      <c r="D45" s="532" t="e">
        <f t="shared" si="6"/>
        <v>#DIV/0!</v>
      </c>
      <c r="E45" s="533" t="e">
        <f t="shared" si="7"/>
        <v>#DIV/0!</v>
      </c>
      <c r="F45" s="532">
        <f t="shared" si="8"/>
        <v>0</v>
      </c>
      <c r="G45" s="532">
        <f t="shared" si="9"/>
        <v>0</v>
      </c>
      <c r="H45" s="534">
        <f t="shared" si="10"/>
        <v>0</v>
      </c>
      <c r="I45" s="535" t="e">
        <f t="shared" si="10"/>
        <v>#DIV/0!</v>
      </c>
      <c r="J45" s="536" t="e">
        <f t="shared" si="10"/>
        <v>#DIV/0!</v>
      </c>
    </row>
    <row r="46" spans="2:10" ht="13.5" thickBot="1">
      <c r="B46" s="584" t="s">
        <v>811</v>
      </c>
      <c r="C46" s="92" t="e">
        <f>C32/100000</f>
        <v>#DIV/0!</v>
      </c>
      <c r="D46" s="532" t="e">
        <f>D32/3412</f>
        <v>#DIV/0!</v>
      </c>
      <c r="E46" s="533" t="e">
        <f>E32</f>
        <v>#DIV/0!</v>
      </c>
      <c r="F46" s="532">
        <f>F32/100000</f>
        <v>0</v>
      </c>
      <c r="G46" s="532">
        <f>G32/3412</f>
        <v>0</v>
      </c>
      <c r="H46" s="534">
        <f>H32</f>
        <v>0</v>
      </c>
      <c r="I46" s="535" t="e">
        <f>I32</f>
        <v>#DIV/0!</v>
      </c>
      <c r="J46" s="536" t="e">
        <f>J32</f>
        <v>#DIV/0!</v>
      </c>
    </row>
    <row r="49" ht="12.75">
      <c r="B49" s="15" t="s">
        <v>328</v>
      </c>
    </row>
    <row r="50" ht="13.5" thickBot="1"/>
    <row r="51" spans="2:4" ht="13.5" thickBot="1">
      <c r="B51" s="530"/>
      <c r="C51" s="95" t="s">
        <v>206</v>
      </c>
      <c r="D51" s="89" t="s">
        <v>207</v>
      </c>
    </row>
    <row r="52" spans="2:4" ht="13.5" thickBot="1">
      <c r="B52" s="530"/>
      <c r="C52" s="95" t="s">
        <v>329</v>
      </c>
      <c r="D52" s="89" t="s">
        <v>329</v>
      </c>
    </row>
    <row r="53" spans="2:4" ht="13.5" thickBot="1">
      <c r="B53" s="524" t="s">
        <v>318</v>
      </c>
      <c r="C53" s="102">
        <f aca="true" t="shared" si="11" ref="C53:C58">IF($C$14=0,0,SUM(C24:D24)/$C$14)</f>
        <v>0</v>
      </c>
      <c r="D53" s="92">
        <f aca="true" t="shared" si="12" ref="D53:D58">IF($C$14=0,0,SUM(F24:G24)/$C$14)</f>
        <v>0</v>
      </c>
    </row>
    <row r="54" spans="2:4" ht="13.5" thickBot="1">
      <c r="B54" s="524" t="s">
        <v>319</v>
      </c>
      <c r="C54" s="102">
        <f t="shared" si="11"/>
        <v>0</v>
      </c>
      <c r="D54" s="92">
        <f t="shared" si="12"/>
        <v>0</v>
      </c>
    </row>
    <row r="55" spans="2:4" ht="13.5" thickBot="1">
      <c r="B55" s="524" t="s">
        <v>320</v>
      </c>
      <c r="C55" s="102">
        <f t="shared" si="11"/>
        <v>0</v>
      </c>
      <c r="D55" s="92">
        <f t="shared" si="12"/>
        <v>0</v>
      </c>
    </row>
    <row r="56" spans="2:4" ht="13.5" thickBot="1">
      <c r="B56" s="524" t="s">
        <v>321</v>
      </c>
      <c r="C56" s="102">
        <f t="shared" si="11"/>
        <v>0</v>
      </c>
      <c r="D56" s="92">
        <f t="shared" si="12"/>
        <v>0</v>
      </c>
    </row>
    <row r="57" spans="2:4" ht="13.5" thickBot="1">
      <c r="B57" s="524" t="s">
        <v>322</v>
      </c>
      <c r="C57" s="102">
        <f t="shared" si="11"/>
        <v>0</v>
      </c>
      <c r="D57" s="92">
        <f t="shared" si="12"/>
        <v>0</v>
      </c>
    </row>
    <row r="58" spans="2:4" ht="13.5" thickBot="1">
      <c r="B58" s="524" t="s">
        <v>323</v>
      </c>
      <c r="C58" s="102">
        <f t="shared" si="11"/>
        <v>0</v>
      </c>
      <c r="D58" s="92">
        <f t="shared" si="12"/>
        <v>0</v>
      </c>
    </row>
    <row r="59" spans="2:6" ht="13.5" thickBot="1">
      <c r="B59" s="537" t="s">
        <v>809</v>
      </c>
      <c r="C59" s="102">
        <f>IF($C$14=0,0,SUM(C30:D30)/$C$14)</f>
        <v>0</v>
      </c>
      <c r="D59" s="92">
        <f>IF($C$14=0,0,SUM(F30:G30)/$C$14)</f>
        <v>0</v>
      </c>
      <c r="F59" s="551"/>
    </row>
    <row r="61" ht="12.75">
      <c r="F61" s="551"/>
    </row>
    <row r="62" ht="12.75">
      <c r="D62" s="551"/>
    </row>
  </sheetData>
  <sheetProtection sheet="1" insertColumns="0" insertRows="0"/>
  <mergeCells count="13">
    <mergeCell ref="D9:J9"/>
    <mergeCell ref="D10:J10"/>
    <mergeCell ref="D11:J11"/>
    <mergeCell ref="D12:J12"/>
    <mergeCell ref="D13:J13"/>
    <mergeCell ref="C22:E22"/>
    <mergeCell ref="F22:H22"/>
    <mergeCell ref="C38:E38"/>
    <mergeCell ref="F38:H38"/>
    <mergeCell ref="I38:I39"/>
    <mergeCell ref="J38:J39"/>
    <mergeCell ref="I22:I23"/>
    <mergeCell ref="J22:J23"/>
  </mergeCells>
  <printOptions/>
  <pageMargins left="0.75" right="0.75"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B2:E37"/>
  <sheetViews>
    <sheetView zoomScalePageLayoutView="0" workbookViewId="0" topLeftCell="A1">
      <selection activeCell="B3" sqref="B3"/>
    </sheetView>
  </sheetViews>
  <sheetFormatPr defaultColWidth="9.140625" defaultRowHeight="12.75"/>
  <cols>
    <col min="1" max="1" width="3.28125" style="0" customWidth="1"/>
    <col min="2" max="2" width="28.57421875" style="0" customWidth="1"/>
    <col min="3" max="3" width="194.28125" style="681" customWidth="1"/>
  </cols>
  <sheetData>
    <row r="2" spans="2:3" ht="12.75">
      <c r="B2" s="871" t="s">
        <v>1028</v>
      </c>
      <c r="C2" s="871"/>
    </row>
    <row r="3" spans="2:3" ht="12.75">
      <c r="B3" s="683" t="s">
        <v>677</v>
      </c>
      <c r="C3" s="682" t="s">
        <v>1019</v>
      </c>
    </row>
    <row r="4" ht="12.75">
      <c r="C4" s="682" t="s">
        <v>1016</v>
      </c>
    </row>
    <row r="5" ht="12.75">
      <c r="C5" s="681" t="s">
        <v>1027</v>
      </c>
    </row>
    <row r="6" spans="2:3" ht="12.75">
      <c r="B6" s="683" t="s">
        <v>683</v>
      </c>
      <c r="C6" s="682" t="s">
        <v>1015</v>
      </c>
    </row>
    <row r="7" spans="2:3" ht="12.75">
      <c r="B7" s="683" t="s">
        <v>684</v>
      </c>
      <c r="C7" s="682" t="s">
        <v>991</v>
      </c>
    </row>
    <row r="8" spans="2:3" ht="12.75">
      <c r="B8" s="683" t="s">
        <v>685</v>
      </c>
      <c r="C8" s="682" t="s">
        <v>992</v>
      </c>
    </row>
    <row r="10" ht="12.75">
      <c r="B10" s="15"/>
    </row>
    <row r="11" spans="2:3" ht="12.75">
      <c r="B11" s="871" t="s">
        <v>983</v>
      </c>
      <c r="C11" s="871"/>
    </row>
    <row r="12" spans="2:3" ht="12.75">
      <c r="B12" s="683" t="s">
        <v>680</v>
      </c>
      <c r="C12" s="682" t="s">
        <v>956</v>
      </c>
    </row>
    <row r="13" spans="2:3" ht="12.75">
      <c r="B13" s="683" t="s">
        <v>681</v>
      </c>
      <c r="C13" s="681" t="s">
        <v>957</v>
      </c>
    </row>
    <row r="14" spans="2:3" ht="12.75">
      <c r="B14" s="683" t="s">
        <v>683</v>
      </c>
      <c r="C14" s="682" t="s">
        <v>961</v>
      </c>
    </row>
    <row r="15" spans="2:3" ht="12.75">
      <c r="B15" s="683" t="s">
        <v>684</v>
      </c>
      <c r="C15" s="681" t="s">
        <v>958</v>
      </c>
    </row>
    <row r="16" spans="2:3" ht="12.75">
      <c r="B16" s="683" t="s">
        <v>685</v>
      </c>
      <c r="C16" s="681" t="s">
        <v>959</v>
      </c>
    </row>
    <row r="17" spans="2:3" ht="12.75">
      <c r="B17" s="683" t="s">
        <v>945</v>
      </c>
      <c r="C17" s="682" t="s">
        <v>960</v>
      </c>
    </row>
    <row r="19" spans="2:3" ht="12.75">
      <c r="B19" s="759" t="s">
        <v>982</v>
      </c>
      <c r="C19" s="759"/>
    </row>
    <row r="20" spans="2:3" ht="12.75">
      <c r="B20" s="683" t="s">
        <v>676</v>
      </c>
      <c r="C20" s="681" t="s">
        <v>947</v>
      </c>
    </row>
    <row r="21" spans="2:3" ht="12.75">
      <c r="B21" s="683" t="s">
        <v>677</v>
      </c>
      <c r="C21" s="682" t="s">
        <v>949</v>
      </c>
    </row>
    <row r="22" spans="2:3" ht="12.75">
      <c r="B22" s="683" t="s">
        <v>939</v>
      </c>
      <c r="C22" s="682" t="s">
        <v>948</v>
      </c>
    </row>
    <row r="23" spans="2:3" ht="12.75">
      <c r="B23" s="683" t="s">
        <v>950</v>
      </c>
      <c r="C23" s="682" t="s">
        <v>951</v>
      </c>
    </row>
    <row r="24" spans="2:3" ht="12.75">
      <c r="B24" s="683" t="s">
        <v>952</v>
      </c>
      <c r="C24" s="682" t="s">
        <v>953</v>
      </c>
    </row>
    <row r="25" spans="2:3" ht="26.25">
      <c r="B25" s="683" t="s">
        <v>942</v>
      </c>
      <c r="C25" s="682" t="s">
        <v>954</v>
      </c>
    </row>
    <row r="26" spans="2:3" ht="12.75">
      <c r="B26" s="683" t="s">
        <v>945</v>
      </c>
      <c r="C26" s="681" t="s">
        <v>955</v>
      </c>
    </row>
    <row r="28" spans="2:3" ht="12.75">
      <c r="B28" s="871" t="s">
        <v>981</v>
      </c>
      <c r="C28" s="871"/>
    </row>
    <row r="29" spans="2:3" ht="12.75">
      <c r="B29" s="684" t="s">
        <v>935</v>
      </c>
      <c r="C29" s="685" t="s">
        <v>937</v>
      </c>
    </row>
    <row r="30" spans="2:3" ht="12.75">
      <c r="B30" s="684" t="s">
        <v>677</v>
      </c>
      <c r="C30" s="685" t="s">
        <v>936</v>
      </c>
    </row>
    <row r="31" spans="2:3" ht="12.75">
      <c r="B31" s="684" t="s">
        <v>939</v>
      </c>
      <c r="C31" s="686" t="s">
        <v>938</v>
      </c>
    </row>
    <row r="32" spans="2:3" ht="12.75">
      <c r="B32" s="684" t="s">
        <v>681</v>
      </c>
      <c r="C32" s="686" t="s">
        <v>940</v>
      </c>
    </row>
    <row r="33" spans="2:3" ht="26.25">
      <c r="B33" s="684" t="s">
        <v>942</v>
      </c>
      <c r="C33" s="685" t="s">
        <v>941</v>
      </c>
    </row>
    <row r="34" spans="2:3" ht="12.75">
      <c r="B34" s="684" t="s">
        <v>944</v>
      </c>
      <c r="C34" s="686" t="s">
        <v>943</v>
      </c>
    </row>
    <row r="35" spans="2:3" ht="12.75">
      <c r="B35" s="684" t="s">
        <v>945</v>
      </c>
      <c r="C35" s="685" t="s">
        <v>946</v>
      </c>
    </row>
    <row r="37" spans="4:5" ht="12.75">
      <c r="D37" s="680"/>
      <c r="E37" s="680"/>
    </row>
  </sheetData>
  <sheetProtection sheet="1"/>
  <mergeCells count="3">
    <mergeCell ref="B28:C28"/>
    <mergeCell ref="B11:C11"/>
    <mergeCell ref="B2:C2"/>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70C0"/>
    <pageSetUpPr fitToPage="1"/>
  </sheetPr>
  <dimension ref="A1:K32"/>
  <sheetViews>
    <sheetView showGridLines="0" zoomScalePageLayoutView="0" workbookViewId="0" topLeftCell="A1">
      <selection activeCell="C7" sqref="C7"/>
    </sheetView>
  </sheetViews>
  <sheetFormatPr defaultColWidth="9.140625" defaultRowHeight="12.75"/>
  <cols>
    <col min="1" max="1" width="3.00390625" style="14" customWidth="1"/>
    <col min="2" max="2" width="35.28125" style="14" customWidth="1"/>
    <col min="3" max="3" width="19.421875" style="14" bestFit="1" customWidth="1"/>
    <col min="4" max="4" width="20.57421875" style="14" customWidth="1"/>
    <col min="5" max="5" width="14.140625" style="14" customWidth="1"/>
    <col min="6" max="6" width="13.8515625" style="14" customWidth="1"/>
    <col min="7" max="7" width="0" style="14" hidden="1" customWidth="1"/>
    <col min="8" max="8" width="18.57421875" style="14" customWidth="1"/>
    <col min="9" max="10" width="9.140625" style="14" hidden="1" customWidth="1"/>
    <col min="11" max="16384" width="9.140625" style="14" customWidth="1"/>
  </cols>
  <sheetData>
    <row r="1" ht="12.75">
      <c r="B1" s="15" t="s">
        <v>212</v>
      </c>
    </row>
    <row r="2" spans="1:2" ht="12.75">
      <c r="A2" s="14">
        <v>1</v>
      </c>
      <c r="B2" s="16" t="s">
        <v>486</v>
      </c>
    </row>
    <row r="3" spans="1:2" ht="12.75">
      <c r="A3" s="14">
        <v>2</v>
      </c>
      <c r="B3" s="17" t="s">
        <v>487</v>
      </c>
    </row>
    <row r="4" ht="17.25">
      <c r="B4" s="18" t="s">
        <v>195</v>
      </c>
    </row>
    <row r="5" ht="12.75">
      <c r="I5" s="14" t="s">
        <v>353</v>
      </c>
    </row>
    <row r="6" spans="2:9" ht="13.5" thickBot="1">
      <c r="B6" s="14" t="s">
        <v>350</v>
      </c>
      <c r="I6" s="14" t="s">
        <v>330</v>
      </c>
    </row>
    <row r="7" spans="2:9" ht="15.75" thickBot="1">
      <c r="B7" s="560" t="s">
        <v>293</v>
      </c>
      <c r="C7" s="789"/>
      <c r="I7" s="14" t="s">
        <v>331</v>
      </c>
    </row>
    <row r="8" spans="2:9" ht="15.75" thickBot="1">
      <c r="B8" s="560" t="s">
        <v>294</v>
      </c>
      <c r="C8" s="790"/>
      <c r="I8" s="14" t="s">
        <v>332</v>
      </c>
    </row>
    <row r="9" spans="2:5" ht="15.75" thickBot="1">
      <c r="B9" s="560" t="s">
        <v>295</v>
      </c>
      <c r="C9" s="789"/>
      <c r="E9" s="551"/>
    </row>
    <row r="10" spans="2:9" ht="15.75" thickBot="1">
      <c r="B10" s="560" t="s">
        <v>38</v>
      </c>
      <c r="C10" s="791"/>
      <c r="I10" s="14" t="s">
        <v>42</v>
      </c>
    </row>
    <row r="11" spans="2:9" ht="15.75" thickBot="1">
      <c r="B11" s="560" t="s">
        <v>39</v>
      </c>
      <c r="C11" s="791"/>
      <c r="I11" s="14" t="s">
        <v>44</v>
      </c>
    </row>
    <row r="12" spans="8:9" ht="12.75">
      <c r="H12" s="19"/>
      <c r="I12" s="14" t="s">
        <v>45</v>
      </c>
    </row>
    <row r="13" spans="2:9" ht="13.5" thickBot="1">
      <c r="B13" s="14" t="s">
        <v>351</v>
      </c>
      <c r="H13" s="19"/>
      <c r="I13" s="14" t="s">
        <v>43</v>
      </c>
    </row>
    <row r="14" spans="2:8" ht="39.75" thickBot="1">
      <c r="B14" s="562" t="s">
        <v>296</v>
      </c>
      <c r="C14" s="563" t="s">
        <v>40</v>
      </c>
      <c r="D14" s="564" t="s">
        <v>41</v>
      </c>
      <c r="E14" s="596"/>
      <c r="F14" s="564" t="s">
        <v>838</v>
      </c>
      <c r="G14" s="19"/>
      <c r="H14" s="784" t="s">
        <v>1017</v>
      </c>
    </row>
    <row r="15" spans="2:8" ht="15.75" thickBot="1">
      <c r="B15" s="546" t="s">
        <v>37</v>
      </c>
      <c r="C15" s="792"/>
      <c r="D15" s="793"/>
      <c r="E15" s="24">
        <f>IF(D15="Unconditioned","Only use 'Unconditioned' for spaces that have no active heating or cooling AND are not indirectly conditioned by adjacent conditioned spaces.","")</f>
      </c>
      <c r="F15" s="587" t="e">
        <f>'In-Unit Lighting'!F47</f>
        <v>#DIV/0!</v>
      </c>
      <c r="G15" s="19"/>
      <c r="H15" s="785" t="e">
        <f>(1.1-F15)*C15*2.34*365/1000</f>
        <v>#DIV/0!</v>
      </c>
    </row>
    <row r="16" spans="2:8" ht="15.75" thickBot="1">
      <c r="B16" s="546" t="s">
        <v>197</v>
      </c>
      <c r="C16" s="20">
        <f>SUMIF('Interior Lighting'!$D$28:$D$1025,B16,'Interior Lighting'!$S$28:$S$1025)</f>
        <v>0</v>
      </c>
      <c r="D16" s="793"/>
      <c r="E16" s="24">
        <f aca="true" t="shared" si="0" ref="E16:E29">IF(D16="Unconditioned","Only use 'Unconditioned' for spaces that have no active heating or cooling AND are not indirectly conditioned by adjacent conditioned spaces.","")</f>
      </c>
      <c r="F16" s="587" t="str">
        <f>IF(C16&gt;0,SUMIF('Interior Lighting'!$D$28:$D$1025,B16,'Interior Lighting'!$K$28:$K$1025)/C16,"0")</f>
        <v>0</v>
      </c>
      <c r="G16" s="676" t="b">
        <f>IF('Interior Lighting'!$C$15="Space-By-Space (90.1-2007)",LOOKUP(B16,'Interior Lighting'!$W$2:$W$17,'Interior Lighting'!$X$2:$X$17),IF('Interior Lighting'!$C$15="Space-By-Space (90.1-2010)",LOOKUP(B16,'Interior Lighting'!$W$2:$W$17,'Interior Lighting'!$Y$2:$Y$17),IF('Interior Lighting'!$C$15="Building Area (90.1-2007)",LOOKUP(B16,'Interior Lighting'!$W$2:$W$17,'Interior Lighting'!$Z$2:$Z$17),IF('Interior Lighting'!$C$15="Building Area (90.1-2010)",LOOKUP(B16,'Interior Lighting'!$W$2:$W$17,'Interior Lighting'!$AA$2:$AA$17),IF('Interior Lighting'!$C$15="CA Title 24-2013",LOOKUP(B16,'Interior Lighting'!$W$2:$W$17,'Interior Lighting'!$AB$2:$AB$17))))))</f>
        <v>0</v>
      </c>
      <c r="H16" s="785">
        <f>(G16-F16)*C16*10*365/1000</f>
        <v>0</v>
      </c>
    </row>
    <row r="17" spans="2:8" ht="15.75" thickBot="1">
      <c r="B17" s="546" t="s">
        <v>198</v>
      </c>
      <c r="C17" s="20">
        <f>SUMIF('Interior Lighting'!$D$28:$D$1025,B17,'Interior Lighting'!$S$28:$S$1025)</f>
        <v>0</v>
      </c>
      <c r="D17" s="793"/>
      <c r="E17" s="24">
        <f t="shared" si="0"/>
      </c>
      <c r="F17" s="587" t="str">
        <f>IF(C17&gt;0,SUMIF('Interior Lighting'!$D$28:$D$1025,B17,'Interior Lighting'!$K$28:$K$1025)/C17,"0")</f>
        <v>0</v>
      </c>
      <c r="G17" s="676" t="b">
        <f>IF('Interior Lighting'!$C$15="Space-By-Space (90.1-2007)",LOOKUP(B17,'Interior Lighting'!$W$2:$W$17,'Interior Lighting'!$X$2:$X$17),IF('Interior Lighting'!$C$15="Space-By-Space (90.1-2010)",LOOKUP(B17,'Interior Lighting'!$W$2:$W$17,'Interior Lighting'!$Y$2:$Y$17),IF('Interior Lighting'!$C$15="Building Area (90.1-2007)",LOOKUP(B17,'Interior Lighting'!$W$2:$W$17,'Interior Lighting'!$Z$2:$Z$17),IF('Interior Lighting'!$C$15="Building Area (90.1-2010)",LOOKUP(B17,'Interior Lighting'!$W$2:$W$17,'Interior Lighting'!$AA$2:$AA$17),IF('Interior Lighting'!$C$15="CA Title 24-2013",LOOKUP(B17,'Interior Lighting'!$W$2:$W$17,'Interior Lighting'!$AB$2:$AB$17))))))</f>
        <v>0</v>
      </c>
      <c r="H17" s="785">
        <f aca="true" t="shared" si="1" ref="H17:H27">(G17-F17)*C17*10*365/1000</f>
        <v>0</v>
      </c>
    </row>
    <row r="18" spans="2:8" ht="15.75" thickBot="1">
      <c r="B18" s="546" t="s">
        <v>199</v>
      </c>
      <c r="C18" s="20">
        <f>SUMIF('Interior Lighting'!$D$28:$D$1025,B18,'Interior Lighting'!$S$28:$S$1025)</f>
        <v>0</v>
      </c>
      <c r="D18" s="793"/>
      <c r="E18" s="24">
        <f t="shared" si="0"/>
      </c>
      <c r="F18" s="587" t="str">
        <f>IF(C18&gt;0,SUMIF('Interior Lighting'!$D$28:$D$1025,B18,'Interior Lighting'!$K$28:$K$1025)/C18,"0")</f>
        <v>0</v>
      </c>
      <c r="G18" s="676" t="b">
        <f>IF('Interior Lighting'!$C$15="Space-By-Space (90.1-2007)",LOOKUP(B18,'Interior Lighting'!$W$2:$W$17,'Interior Lighting'!$X$2:$X$17),IF('Interior Lighting'!$C$15="Space-By-Space (90.1-2010)",LOOKUP(B18,'Interior Lighting'!$W$2:$W$17,'Interior Lighting'!$Y$2:$Y$17),IF('Interior Lighting'!$C$15="Building Area (90.1-2007)",LOOKUP(B18,'Interior Lighting'!$W$2:$W$17,'Interior Lighting'!$Z$2:$Z$17),IF('Interior Lighting'!$C$15="Building Area (90.1-2010)",LOOKUP(B18,'Interior Lighting'!$W$2:$W$17,'Interior Lighting'!$AA$2:$AA$17),IF('Interior Lighting'!$C$15="CA Title 24-2013",LOOKUP(B18,'Interior Lighting'!$W$2:$W$17,'Interior Lighting'!$AB$2:$AB$17))))))</f>
        <v>0</v>
      </c>
      <c r="H18" s="785">
        <f>(G18-F18)*C18*24*365/1000</f>
        <v>0</v>
      </c>
    </row>
    <row r="19" spans="2:8" ht="15.75" thickBot="1">
      <c r="B19" s="546" t="s">
        <v>200</v>
      </c>
      <c r="C19" s="20">
        <f>SUMIF('Interior Lighting'!$D$28:$D$1025,B19,'Interior Lighting'!$S$28:$S$1025)</f>
        <v>0</v>
      </c>
      <c r="D19" s="793"/>
      <c r="E19" s="24">
        <f t="shared" si="0"/>
      </c>
      <c r="F19" s="587" t="str">
        <f>IF(C19&gt;0,SUMIF('Interior Lighting'!$D$28:$D$1025,B19,'Interior Lighting'!$K$28:$K$1025)/C19,"0")</f>
        <v>0</v>
      </c>
      <c r="G19" s="676" t="b">
        <f>IF('Interior Lighting'!$C$15="Space-By-Space (90.1-2007)",LOOKUP(B19,'Interior Lighting'!$W$2:$W$17,'Interior Lighting'!$X$2:$X$17),IF('Interior Lighting'!$C$15="Space-By-Space (90.1-2010)",LOOKUP(B19,'Interior Lighting'!$W$2:$W$17,'Interior Lighting'!$Y$2:$Y$17),IF('Interior Lighting'!$C$15="Building Area (90.1-2007)",LOOKUP(B19,'Interior Lighting'!$W$2:$W$17,'Interior Lighting'!$Z$2:$Z$17),IF('Interior Lighting'!$C$15="Building Area (90.1-2010)",LOOKUP(B19,'Interior Lighting'!$W$2:$W$17,'Interior Lighting'!$AA$2:$AA$17),IF('Interior Lighting'!$C$15="CA Title 24-2013",LOOKUP(B19,'Interior Lighting'!$W$2:$W$17,'Interior Lighting'!$AB$2:$AB$17))))))</f>
        <v>0</v>
      </c>
      <c r="H19" s="785">
        <f>(G19-F19)*C19*24*365/1000</f>
        <v>0</v>
      </c>
    </row>
    <row r="20" spans="2:8" ht="15.75" thickBot="1">
      <c r="B20" s="546" t="s">
        <v>201</v>
      </c>
      <c r="C20" s="20">
        <f>SUMIF('Interior Lighting'!$D$28:$D$1025,B20,'Interior Lighting'!$S$28:$S$1025)</f>
        <v>0</v>
      </c>
      <c r="D20" s="793"/>
      <c r="E20" s="24">
        <f t="shared" si="0"/>
      </c>
      <c r="F20" s="587" t="str">
        <f>IF(C20&gt;0,SUMIF('Interior Lighting'!$D$28:$D$1025,B20,'Interior Lighting'!$K$28:$K$1025)/C20,"0")</f>
        <v>0</v>
      </c>
      <c r="G20" s="676" t="b">
        <f>IF('Interior Lighting'!$C$15="Space-By-Space (90.1-2007)",LOOKUP(B20,'Interior Lighting'!$W$2:$W$17,'Interior Lighting'!$X$2:$X$17),IF('Interior Lighting'!$C$15="Space-By-Space (90.1-2010)",LOOKUP(B20,'Interior Lighting'!$W$2:$W$17,'Interior Lighting'!$Y$2:$Y$17),IF('Interior Lighting'!$C$15="Building Area (90.1-2007)",LOOKUP(B20,'Interior Lighting'!$W$2:$W$17,'Interior Lighting'!$Z$2:$Z$17),IF('Interior Lighting'!$C$15="Building Area (90.1-2010)",LOOKUP(B20,'Interior Lighting'!$W$2:$W$17,'Interior Lighting'!$AA$2:$AA$17),IF('Interior Lighting'!$C$15="CA Title 24-2013",LOOKUP(B20,'Interior Lighting'!$W$2:$W$17,'Interior Lighting'!$AB$2:$AB$17))))))</f>
        <v>0</v>
      </c>
      <c r="H20" s="785">
        <f>(G20-F20)*C20*24*365/1000</f>
        <v>0</v>
      </c>
    </row>
    <row r="21" spans="2:8" ht="15.75" thickBot="1">
      <c r="B21" s="546" t="s">
        <v>202</v>
      </c>
      <c r="C21" s="20">
        <f>SUMIF('Interior Lighting'!$D$28:$D$1025,B21,'Interior Lighting'!$S$28:$S$1025)</f>
        <v>0</v>
      </c>
      <c r="D21" s="793"/>
      <c r="E21" s="24">
        <f t="shared" si="0"/>
      </c>
      <c r="F21" s="587" t="str">
        <f>IF(C21&gt;0,SUMIF('Interior Lighting'!$D$28:$D$1025,B21,'Interior Lighting'!$K$28:$K$1025)/C21,"0")</f>
        <v>0</v>
      </c>
      <c r="G21" s="676" t="b">
        <f>IF('Interior Lighting'!$C$15="Space-By-Space (90.1-2007)",LOOKUP(B21,'Interior Lighting'!$W$2:$W$17,'Interior Lighting'!$X$2:$X$17),IF('Interior Lighting'!$C$15="Space-By-Space (90.1-2010)",LOOKUP(B21,'Interior Lighting'!$W$2:$W$17,'Interior Lighting'!$Y$2:$Y$17),IF('Interior Lighting'!$C$15="Building Area (90.1-2007)",LOOKUP(B21,'Interior Lighting'!$W$2:$W$17,'Interior Lighting'!$Z$2:$Z$17),IF('Interior Lighting'!$C$15="Building Area (90.1-2010)",LOOKUP(B21,'Interior Lighting'!$W$2:$W$17,'Interior Lighting'!$AA$2:$AA$17),IF('Interior Lighting'!$C$15="CA Title 24-2013",LOOKUP(B21,'Interior Lighting'!$W$2:$W$17,'Interior Lighting'!$AB$2:$AB$17))))))</f>
        <v>0</v>
      </c>
      <c r="H21" s="785">
        <f t="shared" si="1"/>
        <v>0</v>
      </c>
    </row>
    <row r="22" spans="2:8" ht="15.75" thickBot="1">
      <c r="B22" s="546" t="s">
        <v>260</v>
      </c>
      <c r="C22" s="20">
        <f>SUMIF('Interior Lighting'!$D$28:$D$1025,B22,'Interior Lighting'!$S$28:$S$1025)</f>
        <v>0</v>
      </c>
      <c r="D22" s="793"/>
      <c r="E22" s="24">
        <f t="shared" si="0"/>
      </c>
      <c r="F22" s="587" t="str">
        <f>IF(C22&gt;0,SUMIF('Interior Lighting'!$D$28:$D$1025,B22,'Interior Lighting'!$K$28:$K$1025)/C22,"0")</f>
        <v>0</v>
      </c>
      <c r="G22" s="676" t="b">
        <f>IF('Interior Lighting'!$C$15="Space-By-Space (90.1-2007)",LOOKUP(B22,'Interior Lighting'!$W$2:$W$17,'Interior Lighting'!$X$2:$X$17),IF('Interior Lighting'!$C$15="Space-By-Space (90.1-2010)",LOOKUP(B22,'Interior Lighting'!$W$2:$W$17,'Interior Lighting'!$Y$2:$Y$17),IF('Interior Lighting'!$C$15="Building Area (90.1-2007)",LOOKUP(B22,'Interior Lighting'!$W$2:$W$17,'Interior Lighting'!$Z$2:$Z$17),IF('Interior Lighting'!$C$15="Building Area (90.1-2010)",LOOKUP(B22,'Interior Lighting'!$W$2:$W$17,'Interior Lighting'!$AA$2:$AA$17),IF('Interior Lighting'!$C$15="CA Title 24-2013",LOOKUP(B22,'Interior Lighting'!$W$2:$W$17,'Interior Lighting'!$AB$2:$AB$17))))))</f>
        <v>0</v>
      </c>
      <c r="H22" s="785">
        <f t="shared" si="1"/>
        <v>0</v>
      </c>
    </row>
    <row r="23" spans="2:8" ht="15.75" thickBot="1">
      <c r="B23" s="546" t="s">
        <v>297</v>
      </c>
      <c r="C23" s="20">
        <f>SUMIF('Interior Lighting'!$D$28:$D$1025,B23,'Interior Lighting'!$S$28:$S$1025)</f>
        <v>0</v>
      </c>
      <c r="D23" s="793"/>
      <c r="E23" s="24">
        <f t="shared" si="0"/>
      </c>
      <c r="F23" s="587" t="str">
        <f>IF(C23&gt;0,SUMIF('Interior Lighting'!$D$28:$D$1025,B23,'Interior Lighting'!$K$28:$K$1025)/C23,"0")</f>
        <v>0</v>
      </c>
      <c r="G23" s="676" t="b">
        <f>IF('Interior Lighting'!$C$15="Space-By-Space (90.1-2007)",LOOKUP(B23,'Interior Lighting'!$W$2:$W$17,'Interior Lighting'!$X$2:$X$17),IF('Interior Lighting'!$C$15="Space-By-Space (90.1-2010)",LOOKUP(B23,'Interior Lighting'!$W$2:$W$17,'Interior Lighting'!$Y$2:$Y$17),IF('Interior Lighting'!$C$15="Building Area (90.1-2007)",LOOKUP(B23,'Interior Lighting'!$W$2:$W$17,'Interior Lighting'!$Z$2:$Z$17),IF('Interior Lighting'!$C$15="Building Area (90.1-2010)",LOOKUP(B23,'Interior Lighting'!$W$2:$W$17,'Interior Lighting'!$AA$2:$AA$17),IF('Interior Lighting'!$C$15="CA Title 24-2013",LOOKUP(B23,'Interior Lighting'!$W$2:$W$17,'Interior Lighting'!$AB$2:$AB$17))))))</f>
        <v>0</v>
      </c>
      <c r="H23" s="785">
        <f t="shared" si="1"/>
        <v>0</v>
      </c>
    </row>
    <row r="24" spans="2:8" ht="15.75" thickBot="1">
      <c r="B24" s="546" t="s">
        <v>203</v>
      </c>
      <c r="C24" s="20">
        <f>SUMIF('Interior Lighting'!$D$28:$D$1025,B24,'Interior Lighting'!$S$28:$S$1025)+SUMIF('Interior Lighting'!$D$28:$D$1025,"Unlit Chases/Shafts",'Interior Lighting'!$S$28:$S$1025)</f>
        <v>0</v>
      </c>
      <c r="D24" s="793"/>
      <c r="E24" s="24">
        <f t="shared" si="0"/>
      </c>
      <c r="F24" s="587" t="str">
        <f>IF(C24&gt;0,SUMIF('Interior Lighting'!$D$28:$D$1025,B24,'Interior Lighting'!$K$28:$K$1025)/C24,"0")</f>
        <v>0</v>
      </c>
      <c r="G24" s="676" t="b">
        <f>IF('Interior Lighting'!$C$15="Space-By-Space (90.1-2007)",LOOKUP(B24,'Interior Lighting'!$W$2:$W$17,'Interior Lighting'!$X$2:$X$17),IF('Interior Lighting'!$C$15="Space-By-Space (90.1-2010)",LOOKUP(B24,'Interior Lighting'!$W$2:$W$17,'Interior Lighting'!$Y$2:$Y$17),IF('Interior Lighting'!$C$15="Building Area (90.1-2007)",LOOKUP(B24,'Interior Lighting'!$W$2:$W$17,'Interior Lighting'!$Z$2:$Z$17),IF('Interior Lighting'!$C$15="Building Area (90.1-2010)",LOOKUP(B24,'Interior Lighting'!$W$2:$W$17,'Interior Lighting'!$AA$2:$AA$17),IF('Interior Lighting'!$C$15="CA Title 24-2013",LOOKUP(B24,'Interior Lighting'!$W$2:$W$17,'Interior Lighting'!$AB$2:$AB$17))))))</f>
        <v>0</v>
      </c>
      <c r="H24" s="785">
        <f t="shared" si="1"/>
        <v>0</v>
      </c>
    </row>
    <row r="25" spans="2:8" ht="15.75" thickBot="1">
      <c r="B25" s="546" t="s">
        <v>204</v>
      </c>
      <c r="C25" s="20">
        <f>SUMIF('Interior Lighting'!$D$28:$D$1025,B25,'Interior Lighting'!$S$28:$S$1025)</f>
        <v>0</v>
      </c>
      <c r="D25" s="793"/>
      <c r="E25" s="24">
        <f t="shared" si="0"/>
      </c>
      <c r="F25" s="587" t="str">
        <f>IF(C25&gt;0,SUMIF('Interior Lighting'!$D$28:$D$1025,B25,'Interior Lighting'!$K$28:$K$1025)/C25,"0")</f>
        <v>0</v>
      </c>
      <c r="G25" s="676" t="b">
        <f>IF('Interior Lighting'!$C$15="Space-By-Space (90.1-2007)",LOOKUP(B25,'Interior Lighting'!$W$2:$W$17,'Interior Lighting'!$X$2:$X$17),IF('Interior Lighting'!$C$15="Space-By-Space (90.1-2010)",LOOKUP(B25,'Interior Lighting'!$W$2:$W$17,'Interior Lighting'!$Y$2:$Y$17),IF('Interior Lighting'!$C$15="Building Area (90.1-2007)",LOOKUP(B25,'Interior Lighting'!$W$2:$W$17,'Interior Lighting'!$Z$2:$Z$17),IF('Interior Lighting'!$C$15="Building Area (90.1-2010)",LOOKUP(B25,'Interior Lighting'!$W$2:$W$17,'Interior Lighting'!$AA$2:$AA$17),IF('Interior Lighting'!$C$15="CA Title 24-2013",LOOKUP(B25,'Interior Lighting'!$W$2:$W$17,'Interior Lighting'!$AB$2:$AB$17))))))</f>
        <v>0</v>
      </c>
      <c r="H25" s="785">
        <f t="shared" si="1"/>
        <v>0</v>
      </c>
    </row>
    <row r="26" spans="2:8" ht="15.75" thickBot="1">
      <c r="B26" s="546" t="s">
        <v>841</v>
      </c>
      <c r="C26" s="20">
        <f>SUMIF('Interior Lighting'!$D$28:$D$1025,B26,'Interior Lighting'!$S$28:$S$1025)</f>
        <v>0</v>
      </c>
      <c r="D26" s="793"/>
      <c r="E26" s="24"/>
      <c r="F26" s="587" t="str">
        <f>IF(C26&gt;0,SUMIF('Interior Lighting'!$D$28:$D$1025,B26,'Interior Lighting'!$K$28:$K$1025)/C26,"0")</f>
        <v>0</v>
      </c>
      <c r="G26" s="676" t="b">
        <f>IF('Interior Lighting'!$C$15="Space-By-Space (90.1-2007)",LOOKUP(B26,'Interior Lighting'!$W$2:$W$17,'Interior Lighting'!$X$2:$X$17),IF('Interior Lighting'!$C$15="Space-By-Space (90.1-2010)",LOOKUP(B26,'Interior Lighting'!$W$2:$W$17,'Interior Lighting'!$Y$2:$Y$17),IF('Interior Lighting'!$C$15="Building Area (90.1-2007)",LOOKUP(B26,'Interior Lighting'!$W$2:$W$17,'Interior Lighting'!$Z$2:$Z$17),IF('Interior Lighting'!$C$15="Building Area (90.1-2010)",LOOKUP(B26,'Interior Lighting'!$W$2:$W$17,'Interior Lighting'!$AA$2:$AA$17),IF('Interior Lighting'!$C$15="CA Title 24-2013",LOOKUP(B26,'Interior Lighting'!$W$2:$W$17,'Interior Lighting'!$AB$2:$AB$17))))))</f>
        <v>0</v>
      </c>
      <c r="H26" s="785">
        <f t="shared" si="1"/>
        <v>0</v>
      </c>
    </row>
    <row r="27" spans="2:8" ht="15.75" thickBot="1">
      <c r="B27" s="546" t="s">
        <v>842</v>
      </c>
      <c r="C27" s="20">
        <f>SUMIF('Interior Lighting'!$D$28:$D$1025,B27,'Interior Lighting'!$S$28:$S$1025)</f>
        <v>0</v>
      </c>
      <c r="D27" s="793"/>
      <c r="E27" s="24"/>
      <c r="F27" s="587" t="str">
        <f>IF(C27&gt;0,SUMIF('Interior Lighting'!$D$28:$D$1025,B27,'Interior Lighting'!$K$28:$K$1025)/C27,"0")</f>
        <v>0</v>
      </c>
      <c r="G27" s="676" t="b">
        <f>IF('Interior Lighting'!$C$15="Space-By-Space (90.1-2007)",LOOKUP(B27,'Interior Lighting'!$W$2:$W$17,'Interior Lighting'!$X$2:$X$17),IF('Interior Lighting'!$C$15="Space-By-Space (90.1-2010)",LOOKUP(B27,'Interior Lighting'!$W$2:$W$17,'Interior Lighting'!$Y$2:$Y$17),IF('Interior Lighting'!$C$15="Building Area (90.1-2007)",LOOKUP(B27,'Interior Lighting'!$W$2:$W$17,'Interior Lighting'!$Z$2:$Z$17),IF('Interior Lighting'!$C$15="Building Area (90.1-2010)",LOOKUP(B27,'Interior Lighting'!$W$2:$W$17,'Interior Lighting'!$AA$2:$AA$17),IF('Interior Lighting'!$C$15="CA Title 24-2013",LOOKUP(B27,'Interior Lighting'!$W$2:$W$17,'Interior Lighting'!$AB$2:$AB$17))))))</f>
        <v>0</v>
      </c>
      <c r="H27" s="785">
        <f t="shared" si="1"/>
        <v>0</v>
      </c>
    </row>
    <row r="28" spans="2:11" ht="15.75" thickBot="1">
      <c r="B28" s="546" t="s">
        <v>205</v>
      </c>
      <c r="C28" s="20">
        <f>SUMIF('Interior Lighting'!$D$28:$D$1025,B28,'Interior Lighting'!$S$28:$S$1025)</f>
        <v>0</v>
      </c>
      <c r="D28" s="579" t="s">
        <v>73</v>
      </c>
      <c r="E28" s="24"/>
      <c r="F28" s="587" t="str">
        <f>IF(C28&gt;0,SUMIF('Interior Lighting'!$D$28:$D$1025,B28,'Interior Lighting'!$K$28:$K$1025)/C28,"0")</f>
        <v>0</v>
      </c>
      <c r="G28" s="676" t="b">
        <f>IF('Interior Lighting'!$C$15="Space-By-Space (90.1-2007)",LOOKUP(B28,'Interior Lighting'!$W$2:$W$17,'Interior Lighting'!$X$2:$X$17),IF('Interior Lighting'!$C$15="Space-By-Space (90.1-2010)",LOOKUP(B28,'Interior Lighting'!$W$2:$W$17,'Interior Lighting'!$Y$2:$Y$17),IF('Interior Lighting'!$C$15="Building Area (90.1-2007)",LOOKUP(B28,'Interior Lighting'!$W$2:$W$17,'Interior Lighting'!$Z$2:$Z$17),IF('Interior Lighting'!$C$15="Building Area (90.1-2010)",LOOKUP(B28,'Interior Lighting'!$W$2:$W$17,'Interior Lighting'!$AA$2:$AA$17),IF('Interior Lighting'!$C$15="CA Title 24-2013",LOOKUP(B28,'Interior Lighting'!$W$2:$W$17,'Interior Lighting'!$AB$2:$AB$17))))))</f>
        <v>0</v>
      </c>
      <c r="H28" s="785">
        <f>(G28-F28)*C28*24*365/1000</f>
        <v>0</v>
      </c>
      <c r="K28" s="551"/>
    </row>
    <row r="29" spans="1:7" ht="15.75" thickBot="1">
      <c r="A29" s="21"/>
      <c r="B29" s="561" t="s">
        <v>674</v>
      </c>
      <c r="C29" s="794"/>
      <c r="D29" s="793"/>
      <c r="E29" s="24">
        <f t="shared" si="0"/>
      </c>
      <c r="F29" s="566"/>
      <c r="G29" s="19"/>
    </row>
    <row r="30" spans="2:7" ht="15.75" thickBot="1">
      <c r="B30" s="679"/>
      <c r="C30" s="22">
        <f>SUM(C15:C29)</f>
        <v>0</v>
      </c>
      <c r="D30" s="677"/>
      <c r="E30" s="23">
        <f>IF(C29&gt;0.5*'Simulation Summary'!C14,"Nonresidential spaces (commercial, retail) cannot exceed 50% of the total conditioned floor area and participate in the MFHR Program.","")</f>
      </c>
      <c r="F30" s="473"/>
      <c r="G30" s="19"/>
    </row>
    <row r="31" spans="2:5" ht="13.5" thickBot="1">
      <c r="B31" s="678"/>
      <c r="C31" s="551"/>
      <c r="D31" s="551"/>
      <c r="E31" s="19"/>
    </row>
    <row r="32" spans="2:6" ht="13.5" thickBot="1">
      <c r="B32" s="560" t="s">
        <v>352</v>
      </c>
      <c r="C32" s="795"/>
      <c r="F32" s="551"/>
    </row>
  </sheetData>
  <sheetProtection sheet="1" formatColumns="0" formatRows="0" insertColumns="0" insertRows="0" deleteColumns="0" deleteRows="0"/>
  <dataValidations count="6">
    <dataValidation type="list" allowBlank="1" showInputMessage="1" showErrorMessage="1" sqref="C32">
      <formula1>$I$5:$I$8</formula1>
    </dataValidation>
    <dataValidation allowBlank="1" showInputMessage="1" showErrorMessage="1" promptTitle="Number of 3+ - Bedrooms" prompt="Enter the number of 3+ - bedroom units per building - NOT the entire project - if more than one identical building." sqref="C10:C11"/>
    <dataValidation allowBlank="1" showInputMessage="1" showErrorMessage="1" promptTitle="Number of 2 - Bedrooms" prompt="Enter the number of two-bedroom units per building - NOT the entire project - if more than one identical building." sqref="C9"/>
    <dataValidation allowBlank="1" showInputMessage="1" showErrorMessage="1" promptTitle="Number of 1 - Bedrooms" prompt="Enter the number of one-bedroom units per building - NOT the entire project - if more than one identical building." sqref="C8"/>
    <dataValidation allowBlank="1" showInputMessage="1" showErrorMessage="1" promptTitle="Number of Studios" prompt="Enter the number of studios for each building - NOT the entire project - if more than one identical building." sqref="C7"/>
    <dataValidation type="list" allowBlank="1" showInputMessage="1" showErrorMessage="1" sqref="D15:D27 D29">
      <formula1>$I$10:$I$13</formula1>
    </dataValidation>
  </dataValidations>
  <printOptions gridLines="1"/>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2:AP147"/>
  <sheetViews>
    <sheetView showGridLines="0" zoomScale="90" zoomScaleNormal="90" zoomScalePageLayoutView="0" workbookViewId="0" topLeftCell="A1">
      <selection activeCell="D7" sqref="D7:F7"/>
    </sheetView>
  </sheetViews>
  <sheetFormatPr defaultColWidth="9.140625" defaultRowHeight="12.75"/>
  <cols>
    <col min="1" max="1" width="0.9921875" style="14" customWidth="1"/>
    <col min="2" max="2" width="21.421875" style="14" customWidth="1"/>
    <col min="3" max="3" width="24.00390625" style="14" customWidth="1"/>
    <col min="4" max="4" width="15.7109375" style="14" customWidth="1"/>
    <col min="5" max="5" width="16.421875" style="14" customWidth="1"/>
    <col min="6" max="6" width="9.421875" style="14" customWidth="1"/>
    <col min="7" max="7" width="20.140625" style="14" customWidth="1"/>
    <col min="8" max="8" width="15.140625" style="14" customWidth="1"/>
    <col min="9" max="10" width="9.421875" style="14" customWidth="1"/>
    <col min="11" max="11" width="13.00390625" style="14" customWidth="1"/>
    <col min="12" max="12" width="0.9921875" style="14" customWidth="1"/>
    <col min="13" max="13" width="12.140625" style="14" bestFit="1" customWidth="1"/>
    <col min="14" max="35" width="9.140625" style="14" customWidth="1"/>
    <col min="36" max="42" width="9.140625" style="14" hidden="1" customWidth="1"/>
    <col min="43" max="16384" width="9.140625" style="14" customWidth="1"/>
  </cols>
  <sheetData>
    <row r="1" ht="13.5" thickBot="1"/>
    <row r="2" spans="2:12" ht="13.5" customHeight="1" thickTop="1">
      <c r="B2" s="1088" t="s">
        <v>1009</v>
      </c>
      <c r="C2" s="1089"/>
      <c r="D2" s="1089"/>
      <c r="E2" s="1089"/>
      <c r="F2" s="1089"/>
      <c r="G2" s="1089"/>
      <c r="H2" s="1089"/>
      <c r="I2" s="1089"/>
      <c r="J2" s="1089"/>
      <c r="K2" s="1089"/>
      <c r="L2" s="1090"/>
    </row>
    <row r="3" spans="2:12" ht="33" customHeight="1">
      <c r="B3" s="1091"/>
      <c r="C3" s="1092"/>
      <c r="D3" s="1092"/>
      <c r="E3" s="1092"/>
      <c r="F3" s="1092"/>
      <c r="G3" s="1092"/>
      <c r="H3" s="1092"/>
      <c r="I3" s="1092"/>
      <c r="J3" s="1092"/>
      <c r="K3" s="1092"/>
      <c r="L3" s="1093"/>
    </row>
    <row r="4" spans="2:12" ht="12.75" customHeight="1" thickBot="1">
      <c r="B4" s="25"/>
      <c r="C4" s="26"/>
      <c r="D4" s="26"/>
      <c r="E4" s="27"/>
      <c r="F4" s="27"/>
      <c r="G4" s="26"/>
      <c r="H4" s="26"/>
      <c r="I4" s="26"/>
      <c r="J4" s="26"/>
      <c r="K4" s="26"/>
      <c r="L4" s="28"/>
    </row>
    <row r="5" spans="2:12" ht="15" thickBot="1">
      <c r="B5" s="29"/>
      <c r="C5" s="30"/>
      <c r="D5" s="30"/>
      <c r="E5" s="30"/>
      <c r="F5" s="30"/>
      <c r="G5" s="30"/>
      <c r="H5" s="30"/>
      <c r="I5" s="30"/>
      <c r="J5" s="30"/>
      <c r="K5" s="30"/>
      <c r="L5" s="31"/>
    </row>
    <row r="6" spans="1:8" ht="18.75" customHeight="1" thickBot="1">
      <c r="A6" s="32"/>
      <c r="B6" s="33" t="s">
        <v>395</v>
      </c>
      <c r="G6" s="60"/>
      <c r="H6" s="60"/>
    </row>
    <row r="7" spans="2:12" ht="13.5" thickBot="1">
      <c r="B7" s="962" t="s">
        <v>396</v>
      </c>
      <c r="C7" s="963"/>
      <c r="D7" s="1031"/>
      <c r="E7" s="1031"/>
      <c r="F7" s="1032"/>
      <c r="G7" s="1083" t="s">
        <v>400</v>
      </c>
      <c r="H7" s="1084"/>
      <c r="I7" s="1094"/>
      <c r="J7" s="1095"/>
      <c r="K7" s="1095"/>
      <c r="L7" s="1096"/>
    </row>
    <row r="8" spans="2:12" ht="13.5" thickBot="1">
      <c r="B8" s="964" t="s">
        <v>787</v>
      </c>
      <c r="C8" s="965"/>
      <c r="D8" s="1081"/>
      <c r="E8" s="1081"/>
      <c r="F8" s="1082"/>
      <c r="G8" s="1067" t="s">
        <v>397</v>
      </c>
      <c r="H8" s="1067"/>
      <c r="I8" s="1094"/>
      <c r="J8" s="1095"/>
      <c r="K8" s="1095"/>
      <c r="L8" s="1096"/>
    </row>
    <row r="9" spans="2:12" ht="13.5" thickBot="1">
      <c r="B9" s="964" t="s">
        <v>999</v>
      </c>
      <c r="C9" s="966"/>
      <c r="D9" s="1018"/>
      <c r="E9" s="1019"/>
      <c r="F9" s="1020"/>
      <c r="G9" s="761" t="s">
        <v>399</v>
      </c>
      <c r="H9" s="761"/>
      <c r="I9" s="1018"/>
      <c r="J9" s="1019"/>
      <c r="K9" s="1019"/>
      <c r="L9" s="1020"/>
    </row>
    <row r="10" spans="1:12" ht="13.5" thickBot="1">
      <c r="A10" s="32"/>
      <c r="B10" s="967" t="s">
        <v>1026</v>
      </c>
      <c r="C10" s="968"/>
      <c r="D10" s="1019"/>
      <c r="E10" s="1019"/>
      <c r="F10" s="1020"/>
      <c r="G10" s="763" t="s">
        <v>401</v>
      </c>
      <c r="H10" s="764"/>
      <c r="I10" s="1099"/>
      <c r="J10" s="1100"/>
      <c r="K10" s="1100"/>
      <c r="L10" s="1101"/>
    </row>
    <row r="11" spans="1:12" ht="13.5" thickBot="1">
      <c r="A11" s="32"/>
      <c r="B11" s="967" t="s">
        <v>1000</v>
      </c>
      <c r="C11" s="968"/>
      <c r="D11" s="1070"/>
      <c r="E11" s="1019"/>
      <c r="F11" s="1020"/>
      <c r="G11" s="761" t="s">
        <v>403</v>
      </c>
      <c r="H11" s="762"/>
      <c r="I11" s="1102"/>
      <c r="J11" s="1103"/>
      <c r="K11" s="1103"/>
      <c r="L11" s="1104"/>
    </row>
    <row r="12" spans="1:12" ht="13.5" thickBot="1">
      <c r="A12" s="32"/>
      <c r="B12" s="34"/>
      <c r="C12" s="35"/>
      <c r="D12" s="36"/>
      <c r="E12" s="36"/>
      <c r="F12" s="35"/>
      <c r="G12" s="35"/>
      <c r="H12" s="36"/>
      <c r="I12" s="36"/>
      <c r="J12" s="36"/>
      <c r="K12" s="36"/>
      <c r="L12" s="37"/>
    </row>
    <row r="13" spans="1:12" ht="15.75" thickBot="1">
      <c r="A13" s="32"/>
      <c r="B13" s="33" t="s">
        <v>405</v>
      </c>
      <c r="C13" s="38"/>
      <c r="F13" s="38"/>
      <c r="G13" s="38"/>
      <c r="L13" s="32"/>
    </row>
    <row r="14" spans="2:12" ht="13.5" thickBot="1">
      <c r="B14" s="1046" t="s">
        <v>406</v>
      </c>
      <c r="C14" s="1037"/>
      <c r="D14" s="1031"/>
      <c r="E14" s="1031"/>
      <c r="F14" s="1032"/>
      <c r="G14" s="1036" t="s">
        <v>770</v>
      </c>
      <c r="H14" s="1037"/>
      <c r="I14" s="1018"/>
      <c r="J14" s="1019"/>
      <c r="K14" s="1019"/>
      <c r="L14" s="1020"/>
    </row>
    <row r="15" spans="2:12" ht="13.5" thickBot="1">
      <c r="B15" s="1021" t="s">
        <v>408</v>
      </c>
      <c r="C15" s="966"/>
      <c r="D15" s="1019"/>
      <c r="E15" s="1019"/>
      <c r="F15" s="1020"/>
      <c r="G15" s="1029" t="s">
        <v>409</v>
      </c>
      <c r="H15" s="966"/>
      <c r="I15" s="1018"/>
      <c r="J15" s="1019"/>
      <c r="K15" s="1019"/>
      <c r="L15" s="1020"/>
    </row>
    <row r="16" spans="2:12" ht="13.5" thickBot="1">
      <c r="B16" s="1021" t="s">
        <v>401</v>
      </c>
      <c r="C16" s="966"/>
      <c r="D16" s="1019"/>
      <c r="E16" s="1019"/>
      <c r="F16" s="1020"/>
      <c r="G16" s="1068" t="s">
        <v>817</v>
      </c>
      <c r="H16" s="966"/>
      <c r="I16" s="1018"/>
      <c r="J16" s="1019"/>
      <c r="K16" s="1019"/>
      <c r="L16" s="1020"/>
    </row>
    <row r="17" spans="2:12" ht="13.5" thickBot="1">
      <c r="B17" s="1021" t="s">
        <v>403</v>
      </c>
      <c r="C17" s="966"/>
      <c r="D17" s="1078"/>
      <c r="E17" s="1079"/>
      <c r="F17" s="1080"/>
      <c r="G17" s="1030" t="s">
        <v>769</v>
      </c>
      <c r="H17" s="968"/>
      <c r="I17" s="1018"/>
      <c r="J17" s="1019"/>
      <c r="K17" s="1019"/>
      <c r="L17" s="1020"/>
    </row>
    <row r="18" spans="1:12" ht="13.5" thickBot="1">
      <c r="A18" s="32"/>
      <c r="B18" s="39"/>
      <c r="C18" s="40"/>
      <c r="D18" s="106"/>
      <c r="E18" s="106"/>
      <c r="F18" s="106"/>
      <c r="G18" s="40"/>
      <c r="H18" s="40"/>
      <c r="I18" s="41"/>
      <c r="J18" s="41"/>
      <c r="K18" s="41"/>
      <c r="L18" s="42"/>
    </row>
    <row r="19" spans="1:12" ht="15.75" thickBot="1">
      <c r="A19" s="32"/>
      <c r="B19" s="33" t="s">
        <v>411</v>
      </c>
      <c r="E19" s="38"/>
      <c r="F19" s="38"/>
      <c r="H19" s="19"/>
      <c r="I19" s="19"/>
      <c r="J19" s="19"/>
      <c r="K19" s="19"/>
      <c r="L19" s="32"/>
    </row>
    <row r="20" spans="1:12" ht="15" customHeight="1" thickBot="1">
      <c r="A20" s="32"/>
      <c r="B20" s="1022" t="s">
        <v>412</v>
      </c>
      <c r="C20" s="959"/>
      <c r="D20" s="1012"/>
      <c r="E20" s="1013"/>
      <c r="F20" s="1014"/>
      <c r="G20" s="43" t="s">
        <v>33</v>
      </c>
      <c r="H20" s="44"/>
      <c r="I20" s="1023">
        <f>'Basic Info'!C30</f>
        <v>0</v>
      </c>
      <c r="J20" s="1024"/>
      <c r="K20" s="1024"/>
      <c r="L20" s="1025"/>
    </row>
    <row r="21" spans="1:12" ht="12.75" customHeight="1" thickBot="1">
      <c r="A21" s="32"/>
      <c r="B21" s="1022" t="s">
        <v>413</v>
      </c>
      <c r="C21" s="959"/>
      <c r="D21" s="1012"/>
      <c r="E21" s="1013"/>
      <c r="F21" s="1014"/>
      <c r="G21" s="1010" t="s">
        <v>196</v>
      </c>
      <c r="H21" s="1011"/>
      <c r="I21" s="1026">
        <f>'Basic Info'!C15</f>
        <v>0</v>
      </c>
      <c r="J21" s="1027"/>
      <c r="K21" s="1027"/>
      <c r="L21" s="1028"/>
    </row>
    <row r="22" spans="1:12" ht="12.75" customHeight="1" thickBot="1">
      <c r="A22" s="32"/>
      <c r="B22" s="1022" t="s">
        <v>415</v>
      </c>
      <c r="C22" s="959"/>
      <c r="D22" s="1012"/>
      <c r="E22" s="1013"/>
      <c r="F22" s="1014"/>
      <c r="G22" s="1010" t="s">
        <v>414</v>
      </c>
      <c r="H22" s="1011"/>
      <c r="I22" s="1023">
        <f>SUM('Basic Info'!C16:'Basic Info'!C27)</f>
        <v>0</v>
      </c>
      <c r="J22" s="1024"/>
      <c r="K22" s="1024"/>
      <c r="L22" s="1025"/>
    </row>
    <row r="23" spans="1:12" ht="12.75" customHeight="1" thickBot="1">
      <c r="A23" s="32"/>
      <c r="B23" s="45" t="s">
        <v>417</v>
      </c>
      <c r="C23" s="46"/>
      <c r="D23" s="1012"/>
      <c r="E23" s="1013"/>
      <c r="F23" s="1014"/>
      <c r="G23" s="1010" t="s">
        <v>416</v>
      </c>
      <c r="H23" s="1011"/>
      <c r="I23" s="1023">
        <f>'Basic Info'!C29</f>
        <v>0</v>
      </c>
      <c r="J23" s="1024"/>
      <c r="K23" s="1024"/>
      <c r="L23" s="1025"/>
    </row>
    <row r="24" spans="1:12" ht="15" customHeight="1" thickBot="1">
      <c r="A24" s="32"/>
      <c r="B24" s="47" t="s">
        <v>418</v>
      </c>
      <c r="C24" s="48"/>
      <c r="D24" s="1012"/>
      <c r="E24" s="1013"/>
      <c r="F24" s="1014"/>
      <c r="G24" s="1069" t="s">
        <v>298</v>
      </c>
      <c r="H24" s="1011"/>
      <c r="I24" s="1023">
        <f>'Basic Info'!C28</f>
        <v>0</v>
      </c>
      <c r="J24" s="1024"/>
      <c r="K24" s="1024"/>
      <c r="L24" s="1025"/>
    </row>
    <row r="25" spans="1:12" ht="15.75" thickBot="1">
      <c r="A25" s="32"/>
      <c r="B25" s="1022" t="s">
        <v>419</v>
      </c>
      <c r="C25" s="959"/>
      <c r="D25" s="1012"/>
      <c r="E25" s="1013"/>
      <c r="F25" s="1014"/>
      <c r="G25" s="43" t="s">
        <v>34</v>
      </c>
      <c r="H25" s="44"/>
      <c r="I25" s="1026">
        <f>SUM(I26:L28)</f>
        <v>0</v>
      </c>
      <c r="J25" s="1027"/>
      <c r="K25" s="1027"/>
      <c r="L25" s="1028"/>
    </row>
    <row r="26" spans="1:12" ht="12.75" customHeight="1" thickBot="1">
      <c r="A26" s="32"/>
      <c r="B26" s="958" t="s">
        <v>768</v>
      </c>
      <c r="C26" s="959"/>
      <c r="D26" s="1012"/>
      <c r="E26" s="1013"/>
      <c r="F26" s="1014"/>
      <c r="G26" s="1010" t="s">
        <v>420</v>
      </c>
      <c r="H26" s="1011"/>
      <c r="I26" s="1023">
        <f>SUMIF('Basic Info'!D15:D29,"Heated &amp; Cooled",'Basic Info'!C15:C29)</f>
        <v>0</v>
      </c>
      <c r="J26" s="1024"/>
      <c r="K26" s="1024"/>
      <c r="L26" s="1025"/>
    </row>
    <row r="27" spans="1:12" ht="12.75" customHeight="1" thickBot="1">
      <c r="A27" s="32"/>
      <c r="B27" s="47"/>
      <c r="C27" s="48"/>
      <c r="D27" s="1047"/>
      <c r="E27" s="1047"/>
      <c r="F27" s="1048"/>
      <c r="G27" s="1010" t="s">
        <v>421</v>
      </c>
      <c r="H27" s="1011"/>
      <c r="I27" s="1023">
        <f>SUMIF('Basic Info'!D15:D29,"Heated-Only",'Basic Info'!C15:C29)</f>
        <v>0</v>
      </c>
      <c r="J27" s="1024"/>
      <c r="K27" s="1024"/>
      <c r="L27" s="1025"/>
    </row>
    <row r="28" spans="1:12" ht="12.75" customHeight="1" thickBot="1">
      <c r="A28" s="32"/>
      <c r="B28" s="969"/>
      <c r="C28" s="970"/>
      <c r="D28" s="1049"/>
      <c r="E28" s="1049"/>
      <c r="F28" s="1050"/>
      <c r="G28" s="1010" t="s">
        <v>422</v>
      </c>
      <c r="H28" s="1011"/>
      <c r="I28" s="1023">
        <f>SUMIF('Basic Info'!D15:D29,"Cooled-Only",'Basic Info'!C15:C29)</f>
        <v>0</v>
      </c>
      <c r="J28" s="1024"/>
      <c r="K28" s="1024"/>
      <c r="L28" s="1025"/>
    </row>
    <row r="29" spans="1:12" ht="8.25" customHeight="1" thickBot="1">
      <c r="A29" s="32"/>
      <c r="B29" s="49"/>
      <c r="C29" s="49"/>
      <c r="D29" s="49"/>
      <c r="E29" s="49"/>
      <c r="F29" s="49"/>
      <c r="G29" s="49"/>
      <c r="H29" s="49"/>
      <c r="I29" s="26"/>
      <c r="J29" s="26"/>
      <c r="K29" s="26"/>
      <c r="L29" s="50"/>
    </row>
    <row r="30" spans="1:12" ht="13.5" thickBot="1">
      <c r="A30" s="32"/>
      <c r="B30" s="1065" t="s">
        <v>423</v>
      </c>
      <c r="C30" s="1066"/>
      <c r="D30" s="51" t="s">
        <v>293</v>
      </c>
      <c r="E30" s="51" t="s">
        <v>424</v>
      </c>
      <c r="F30" s="51" t="s">
        <v>425</v>
      </c>
      <c r="G30" s="51" t="s">
        <v>426</v>
      </c>
      <c r="H30" s="51" t="s">
        <v>427</v>
      </c>
      <c r="I30" s="1097" t="s">
        <v>292</v>
      </c>
      <c r="J30" s="1097"/>
      <c r="K30" s="1097"/>
      <c r="L30" s="1098"/>
    </row>
    <row r="31" spans="2:12" ht="13.5" thickBot="1">
      <c r="B31" s="1035" t="s">
        <v>75</v>
      </c>
      <c r="C31" s="959"/>
      <c r="D31" s="52">
        <f>'Basic Info'!C7</f>
        <v>0</v>
      </c>
      <c r="E31" s="52">
        <f>'Basic Info'!C8</f>
        <v>0</v>
      </c>
      <c r="F31" s="52">
        <f>'Basic Info'!C9</f>
        <v>0</v>
      </c>
      <c r="G31" s="52">
        <f>'Basic Info'!C10</f>
        <v>0</v>
      </c>
      <c r="H31" s="52">
        <f>'Basic Info'!C11</f>
        <v>0</v>
      </c>
      <c r="I31" s="1076">
        <f>SUM(D31:H31)</f>
        <v>0</v>
      </c>
      <c r="J31" s="1076"/>
      <c r="K31" s="1076"/>
      <c r="L31" s="1077"/>
    </row>
    <row r="32" spans="1:12" ht="15" customHeight="1" thickBot="1">
      <c r="A32" s="32"/>
      <c r="B32" s="969" t="s">
        <v>35</v>
      </c>
      <c r="C32" s="970"/>
      <c r="D32" s="107" t="str">
        <f>IF(D31&gt;0,'Infiltration&amp;Ventilation'!C53,"NA")</f>
        <v>NA</v>
      </c>
      <c r="E32" s="107" t="str">
        <f>IF(E31&gt;0,'Infiltration&amp;Ventilation'!D53,"NA")</f>
        <v>NA</v>
      </c>
      <c r="F32" s="107" t="str">
        <f>IF(F31&gt;0,'Infiltration&amp;Ventilation'!E53,"NA")</f>
        <v>NA</v>
      </c>
      <c r="G32" s="107" t="str">
        <f>IF(G31&gt;0,'Infiltration&amp;Ventilation'!F53,"NA")</f>
        <v>NA</v>
      </c>
      <c r="H32" s="107" t="str">
        <f>IF(H31&gt;0,'Infiltration&amp;Ventilation'!G53,"NA")</f>
        <v>NA</v>
      </c>
      <c r="I32" s="1016" t="e">
        <f>AVERAGE(D32:H32)</f>
        <v>#DIV/0!</v>
      </c>
      <c r="J32" s="1016"/>
      <c r="K32" s="1016"/>
      <c r="L32" s="1017"/>
    </row>
    <row r="33" spans="1:12" ht="9.75" customHeight="1">
      <c r="A33" s="32"/>
      <c r="B33" s="49"/>
      <c r="C33" s="49"/>
      <c r="D33" s="49"/>
      <c r="E33" s="49"/>
      <c r="F33" s="49"/>
      <c r="G33" s="49"/>
      <c r="H33" s="49"/>
      <c r="I33" s="49"/>
      <c r="J33" s="49"/>
      <c r="K33" s="49"/>
      <c r="L33" s="50"/>
    </row>
    <row r="34" spans="1:12" ht="16.5" customHeight="1" thickBot="1">
      <c r="A34" s="32"/>
      <c r="B34" s="774" t="s">
        <v>1030</v>
      </c>
      <c r="C34" s="775"/>
      <c r="D34" s="775"/>
      <c r="E34" s="776"/>
      <c r="F34" s="1121"/>
      <c r="G34" s="1122"/>
      <c r="H34" s="1122"/>
      <c r="I34" s="1122"/>
      <c r="J34" s="1122"/>
      <c r="K34" s="1122"/>
      <c r="L34" s="1123"/>
    </row>
    <row r="35" spans="1:12" ht="15" customHeight="1" thickBot="1">
      <c r="A35" s="32"/>
      <c r="B35" s="1033" t="s">
        <v>1008</v>
      </c>
      <c r="C35" s="1033"/>
      <c r="D35" s="1034"/>
      <c r="E35" s="53">
        <f>I20</f>
        <v>0</v>
      </c>
      <c r="F35" s="54" t="s">
        <v>289</v>
      </c>
      <c r="G35" s="55"/>
      <c r="H35" s="55"/>
      <c r="I35" s="55"/>
      <c r="J35" s="55"/>
      <c r="K35" s="55"/>
      <c r="L35" s="56"/>
    </row>
    <row r="36" spans="1:12" ht="15" customHeight="1">
      <c r="A36" s="32"/>
      <c r="B36" s="1052" t="s">
        <v>1004</v>
      </c>
      <c r="C36" s="1052"/>
      <c r="D36" s="1053"/>
      <c r="E36" s="57">
        <f>'DHW Demand'!G16</f>
        <v>0</v>
      </c>
      <c r="F36" s="1055" t="s">
        <v>965</v>
      </c>
      <c r="G36" s="1056"/>
      <c r="H36" s="1056"/>
      <c r="I36" s="1056"/>
      <c r="J36" s="1056"/>
      <c r="K36" s="1056"/>
      <c r="L36" s="1057"/>
    </row>
    <row r="37" spans="2:12" ht="15" customHeight="1">
      <c r="B37" s="1051" t="s">
        <v>1005</v>
      </c>
      <c r="C37" s="1052"/>
      <c r="D37" s="1053"/>
      <c r="E37" s="57">
        <f>D20</f>
        <v>0</v>
      </c>
      <c r="F37" s="1058"/>
      <c r="G37" s="1059"/>
      <c r="H37" s="1059"/>
      <c r="I37" s="1059"/>
      <c r="J37" s="1059"/>
      <c r="K37" s="1059"/>
      <c r="L37" s="1060"/>
    </row>
    <row r="38" spans="2:12" ht="12.75">
      <c r="B38" s="1051" t="s">
        <v>1003</v>
      </c>
      <c r="C38" s="1052"/>
      <c r="D38" s="1053"/>
      <c r="E38" s="57">
        <f>I31</f>
        <v>0</v>
      </c>
      <c r="F38" s="1058"/>
      <c r="G38" s="1059"/>
      <c r="H38" s="1059"/>
      <c r="I38" s="1059"/>
      <c r="J38" s="1059"/>
      <c r="K38" s="1059"/>
      <c r="L38" s="1060"/>
    </row>
    <row r="39" spans="2:12" ht="12.75">
      <c r="B39" s="1051" t="s">
        <v>1001</v>
      </c>
      <c r="C39" s="1052"/>
      <c r="D39" s="1053"/>
      <c r="E39" s="57">
        <f>IF('DHW Demand'!$G$25="In-Unit",Appliances!$I$18,0)</f>
        <v>0</v>
      </c>
      <c r="F39" s="1058"/>
      <c r="G39" s="1059"/>
      <c r="H39" s="1059"/>
      <c r="I39" s="1059"/>
      <c r="J39" s="1059"/>
      <c r="K39" s="1059"/>
      <c r="L39" s="1060"/>
    </row>
    <row r="40" spans="2:12" ht="15" customHeight="1">
      <c r="B40" s="1051" t="s">
        <v>1002</v>
      </c>
      <c r="C40" s="1052"/>
      <c r="D40" s="1053"/>
      <c r="E40" s="57">
        <f>IF('DHW Demand'!$G$25="Common",Appliances!$I$18,0)</f>
        <v>0</v>
      </c>
      <c r="F40" s="1058"/>
      <c r="G40" s="1059"/>
      <c r="H40" s="1059"/>
      <c r="I40" s="1059"/>
      <c r="J40" s="1059"/>
      <c r="K40" s="1059"/>
      <c r="L40" s="1060"/>
    </row>
    <row r="41" spans="2:12" ht="15.75" customHeight="1">
      <c r="B41" s="1051" t="s">
        <v>1006</v>
      </c>
      <c r="C41" s="1052"/>
      <c r="D41" s="1053"/>
      <c r="E41" s="777">
        <f>G115</f>
        <v>0</v>
      </c>
      <c r="F41" s="1058"/>
      <c r="G41" s="1059"/>
      <c r="H41" s="1059"/>
      <c r="I41" s="1059"/>
      <c r="J41" s="1059"/>
      <c r="K41" s="1059"/>
      <c r="L41" s="1060"/>
    </row>
    <row r="42" spans="1:12" ht="15.75" customHeight="1" thickBot="1">
      <c r="A42" s="32"/>
      <c r="B42" s="1051" t="s">
        <v>1007</v>
      </c>
      <c r="C42" s="1052"/>
      <c r="D42" s="1053"/>
      <c r="E42" s="778">
        <f>G116</f>
        <v>0</v>
      </c>
      <c r="F42" s="1061"/>
      <c r="G42" s="1062"/>
      <c r="H42" s="1062"/>
      <c r="I42" s="1062"/>
      <c r="J42" s="1062"/>
      <c r="K42" s="1062"/>
      <c r="L42" s="1063"/>
    </row>
    <row r="43" spans="1:12" ht="10.5" customHeight="1" thickBot="1">
      <c r="A43" s="32"/>
      <c r="B43" s="58"/>
      <c r="C43" s="36"/>
      <c r="D43" s="36"/>
      <c r="E43" s="36"/>
      <c r="F43" s="36"/>
      <c r="G43" s="36"/>
      <c r="H43" s="36"/>
      <c r="I43" s="36"/>
      <c r="J43" s="36"/>
      <c r="K43" s="36"/>
      <c r="L43" s="37"/>
    </row>
    <row r="44" spans="1:12" ht="19.5" customHeight="1" thickBot="1">
      <c r="A44" s="32"/>
      <c r="B44" s="59" t="s">
        <v>46</v>
      </c>
      <c r="C44" s="60"/>
      <c r="D44" s="60"/>
      <c r="E44" s="60"/>
      <c r="F44" s="60"/>
      <c r="G44" s="60"/>
      <c r="H44" s="60"/>
      <c r="I44" s="60"/>
      <c r="J44" s="60"/>
      <c r="K44" s="60"/>
      <c r="L44" s="61"/>
    </row>
    <row r="45" spans="1:12" ht="38.25" customHeight="1">
      <c r="A45" s="32"/>
      <c r="B45" s="1054" t="s">
        <v>428</v>
      </c>
      <c r="C45" s="974"/>
      <c r="D45" s="62" t="s">
        <v>429</v>
      </c>
      <c r="E45" s="973" t="s">
        <v>430</v>
      </c>
      <c r="F45" s="974"/>
      <c r="G45" s="988"/>
      <c r="H45" s="973" t="s">
        <v>431</v>
      </c>
      <c r="I45" s="974"/>
      <c r="J45" s="974"/>
      <c r="K45" s="974"/>
      <c r="L45" s="986"/>
    </row>
    <row r="46" spans="2:42" ht="12.75" customHeight="1">
      <c r="B46" s="1109" t="s">
        <v>432</v>
      </c>
      <c r="C46" s="1110"/>
      <c r="D46" s="1110"/>
      <c r="E46" s="1110"/>
      <c r="F46" s="1110"/>
      <c r="G46" s="1110"/>
      <c r="H46" s="1110"/>
      <c r="I46" s="1110"/>
      <c r="J46" s="1110"/>
      <c r="K46" s="1110"/>
      <c r="L46" s="1111"/>
      <c r="AA46" s="16"/>
      <c r="AJ46" s="16" t="s">
        <v>586</v>
      </c>
      <c r="AL46" s="16" t="s">
        <v>592</v>
      </c>
      <c r="AM46" s="16" t="s">
        <v>589</v>
      </c>
      <c r="AN46" s="551" t="s">
        <v>814</v>
      </c>
      <c r="AO46" s="551" t="s">
        <v>818</v>
      </c>
      <c r="AP46" s="551" t="s">
        <v>834</v>
      </c>
    </row>
    <row r="47" spans="2:42" ht="12.75">
      <c r="B47" s="971" t="s">
        <v>771</v>
      </c>
      <c r="C47" s="972"/>
      <c r="D47" s="63" t="s">
        <v>593</v>
      </c>
      <c r="E47" s="878"/>
      <c r="F47" s="879"/>
      <c r="G47" s="880"/>
      <c r="H47" s="881"/>
      <c r="I47" s="882"/>
      <c r="J47" s="882"/>
      <c r="K47" s="882"/>
      <c r="L47" s="883"/>
      <c r="AJ47" s="16" t="s">
        <v>587</v>
      </c>
      <c r="AL47" s="16" t="s">
        <v>588</v>
      </c>
      <c r="AM47" s="16" t="s">
        <v>239</v>
      </c>
      <c r="AN47" s="551" t="s">
        <v>815</v>
      </c>
      <c r="AO47" s="551" t="s">
        <v>819</v>
      </c>
      <c r="AP47" s="551" t="s">
        <v>835</v>
      </c>
    </row>
    <row r="48" spans="2:42" ht="12.75">
      <c r="B48" s="1112" t="s">
        <v>772</v>
      </c>
      <c r="C48" s="1113"/>
      <c r="D48" s="63" t="s">
        <v>778</v>
      </c>
      <c r="E48" s="878"/>
      <c r="F48" s="879"/>
      <c r="G48" s="880"/>
      <c r="H48" s="881"/>
      <c r="I48" s="882"/>
      <c r="J48" s="882"/>
      <c r="K48" s="882"/>
      <c r="L48" s="883"/>
      <c r="AJ48" s="551" t="s">
        <v>799</v>
      </c>
      <c r="AL48" s="551" t="s">
        <v>790</v>
      </c>
      <c r="AM48" s="16"/>
      <c r="AN48" s="14" t="s">
        <v>816</v>
      </c>
      <c r="AO48" s="14" t="s">
        <v>820</v>
      </c>
      <c r="AP48" s="14" t="s">
        <v>836</v>
      </c>
    </row>
    <row r="49" spans="2:42" ht="12.75">
      <c r="B49" s="937" t="s">
        <v>773</v>
      </c>
      <c r="C49" s="921"/>
      <c r="D49" s="63" t="s">
        <v>593</v>
      </c>
      <c r="E49" s="878"/>
      <c r="F49" s="879"/>
      <c r="G49" s="880"/>
      <c r="H49" s="881"/>
      <c r="I49" s="882"/>
      <c r="J49" s="882"/>
      <c r="K49" s="882"/>
      <c r="L49" s="883"/>
      <c r="AL49" s="551" t="s">
        <v>807</v>
      </c>
      <c r="AN49" s="14" t="s">
        <v>299</v>
      </c>
      <c r="AO49" s="14" t="s">
        <v>821</v>
      </c>
      <c r="AP49" s="14" t="s">
        <v>586</v>
      </c>
    </row>
    <row r="50" spans="2:41" ht="12.75" customHeight="1">
      <c r="B50" s="937" t="s">
        <v>774</v>
      </c>
      <c r="C50" s="921"/>
      <c r="D50" s="63" t="s">
        <v>139</v>
      </c>
      <c r="E50" s="878"/>
      <c r="F50" s="879"/>
      <c r="G50" s="880"/>
      <c r="H50" s="881"/>
      <c r="I50" s="882"/>
      <c r="J50" s="882"/>
      <c r="K50" s="882"/>
      <c r="L50" s="883"/>
      <c r="AL50" s="16" t="s">
        <v>591</v>
      </c>
      <c r="AO50" s="14" t="s">
        <v>822</v>
      </c>
    </row>
    <row r="51" spans="2:41" ht="12.75" customHeight="1">
      <c r="B51" s="937" t="s">
        <v>775</v>
      </c>
      <c r="C51" s="921"/>
      <c r="D51" s="63" t="s">
        <v>139</v>
      </c>
      <c r="E51" s="878"/>
      <c r="F51" s="879"/>
      <c r="G51" s="880"/>
      <c r="H51" s="881"/>
      <c r="I51" s="882"/>
      <c r="J51" s="882"/>
      <c r="K51" s="882"/>
      <c r="L51" s="883"/>
      <c r="AL51" s="16"/>
      <c r="AO51" s="14" t="s">
        <v>823</v>
      </c>
    </row>
    <row r="52" spans="2:41" ht="12.75">
      <c r="B52" s="937" t="s">
        <v>776</v>
      </c>
      <c r="C52" s="921"/>
      <c r="D52" s="63" t="s">
        <v>777</v>
      </c>
      <c r="E52" s="878"/>
      <c r="F52" s="879"/>
      <c r="G52" s="880"/>
      <c r="H52" s="881"/>
      <c r="I52" s="882"/>
      <c r="J52" s="882"/>
      <c r="K52" s="882"/>
      <c r="L52" s="883"/>
      <c r="AL52" s="16"/>
      <c r="AO52" s="14" t="s">
        <v>824</v>
      </c>
    </row>
    <row r="53" spans="2:41" ht="12.75">
      <c r="B53" s="920" t="s">
        <v>434</v>
      </c>
      <c r="C53" s="921"/>
      <c r="D53" s="63" t="s">
        <v>593</v>
      </c>
      <c r="E53" s="878"/>
      <c r="F53" s="879"/>
      <c r="G53" s="880"/>
      <c r="H53" s="881"/>
      <c r="I53" s="882"/>
      <c r="J53" s="882"/>
      <c r="K53" s="882"/>
      <c r="L53" s="883"/>
      <c r="AL53" s="16"/>
      <c r="AO53" s="14" t="s">
        <v>825</v>
      </c>
    </row>
    <row r="54" spans="2:41" ht="12.75">
      <c r="B54" s="937" t="s">
        <v>533</v>
      </c>
      <c r="C54" s="921"/>
      <c r="D54" s="63" t="s">
        <v>782</v>
      </c>
      <c r="E54" s="1009"/>
      <c r="F54" s="879"/>
      <c r="G54" s="880"/>
      <c r="H54" s="1015"/>
      <c r="I54" s="882"/>
      <c r="J54" s="882"/>
      <c r="K54" s="882"/>
      <c r="L54" s="883"/>
      <c r="AO54" s="14" t="s">
        <v>826</v>
      </c>
    </row>
    <row r="55" spans="2:41" ht="12.75">
      <c r="B55" s="937" t="s">
        <v>779</v>
      </c>
      <c r="C55" s="921"/>
      <c r="D55" s="63" t="s">
        <v>437</v>
      </c>
      <c r="E55" s="1038"/>
      <c r="F55" s="1039"/>
      <c r="G55" s="1040"/>
      <c r="H55" s="939"/>
      <c r="I55" s="940"/>
      <c r="J55" s="940"/>
      <c r="K55" s="940"/>
      <c r="L55" s="941"/>
      <c r="AO55" s="14" t="s">
        <v>827</v>
      </c>
    </row>
    <row r="56" spans="2:41" ht="12.75">
      <c r="B56" s="937" t="s">
        <v>780</v>
      </c>
      <c r="C56" s="921"/>
      <c r="D56" s="63" t="s">
        <v>439</v>
      </c>
      <c r="E56" s="1038"/>
      <c r="F56" s="1039"/>
      <c r="G56" s="1040"/>
      <c r="H56" s="939"/>
      <c r="I56" s="940"/>
      <c r="J56" s="940"/>
      <c r="K56" s="940"/>
      <c r="L56" s="941"/>
      <c r="AO56" s="14" t="s">
        <v>828</v>
      </c>
    </row>
    <row r="57" spans="2:41" ht="12.75">
      <c r="B57" s="937" t="s">
        <v>441</v>
      </c>
      <c r="C57" s="921"/>
      <c r="D57" s="63"/>
      <c r="E57" s="1038"/>
      <c r="F57" s="1039"/>
      <c r="G57" s="1040"/>
      <c r="H57" s="939"/>
      <c r="I57" s="940"/>
      <c r="J57" s="940"/>
      <c r="K57" s="940"/>
      <c r="L57" s="941"/>
      <c r="AO57" s="14" t="s">
        <v>829</v>
      </c>
    </row>
    <row r="58" spans="1:41" ht="12.75">
      <c r="A58" s="32"/>
      <c r="B58" s="936" t="s">
        <v>781</v>
      </c>
      <c r="C58" s="921"/>
      <c r="D58" s="63" t="s">
        <v>437</v>
      </c>
      <c r="E58" s="878"/>
      <c r="F58" s="879"/>
      <c r="G58" s="880"/>
      <c r="H58" s="881"/>
      <c r="I58" s="882"/>
      <c r="J58" s="882"/>
      <c r="K58" s="882"/>
      <c r="L58" s="883"/>
      <c r="AO58" s="14" t="s">
        <v>830</v>
      </c>
    </row>
    <row r="59" spans="1:41" ht="12.75" customHeight="1">
      <c r="A59" s="32"/>
      <c r="B59" s="951" t="s">
        <v>442</v>
      </c>
      <c r="C59" s="952"/>
      <c r="D59" s="952"/>
      <c r="E59" s="952"/>
      <c r="F59" s="952"/>
      <c r="G59" s="952"/>
      <c r="H59" s="952"/>
      <c r="I59" s="952"/>
      <c r="J59" s="952"/>
      <c r="K59" s="952"/>
      <c r="L59" s="953"/>
      <c r="AO59" s="14" t="s">
        <v>831</v>
      </c>
    </row>
    <row r="60" spans="1:41" ht="12.75" customHeight="1">
      <c r="A60" s="32"/>
      <c r="B60" s="949" t="s">
        <v>444</v>
      </c>
      <c r="C60" s="950"/>
      <c r="D60" s="63" t="s">
        <v>36</v>
      </c>
      <c r="E60" s="580"/>
      <c r="F60" s="581">
        <v>1.1</v>
      </c>
      <c r="G60" s="582" t="s">
        <v>344</v>
      </c>
      <c r="H60" s="886" t="e">
        <f>'In-Unit Lighting'!$F$47</f>
        <v>#DIV/0!</v>
      </c>
      <c r="I60" s="887"/>
      <c r="J60" s="888" t="s">
        <v>344</v>
      </c>
      <c r="K60" s="888"/>
      <c r="L60" s="889"/>
      <c r="AO60" s="14" t="s">
        <v>832</v>
      </c>
    </row>
    <row r="61" spans="1:41" ht="13.5" customHeight="1">
      <c r="A61" s="32"/>
      <c r="B61" s="956" t="s">
        <v>788</v>
      </c>
      <c r="C61" s="950"/>
      <c r="D61" s="63" t="s">
        <v>36</v>
      </c>
      <c r="E61" s="1041" t="s">
        <v>789</v>
      </c>
      <c r="F61" s="1042"/>
      <c r="G61" s="1043"/>
      <c r="H61" s="886" t="str">
        <f>'Basic Info'!F19</f>
        <v>0</v>
      </c>
      <c r="I61" s="887"/>
      <c r="J61" s="888" t="s">
        <v>344</v>
      </c>
      <c r="K61" s="888"/>
      <c r="L61" s="889"/>
      <c r="AO61" s="14" t="s">
        <v>833</v>
      </c>
    </row>
    <row r="62" spans="1:41" ht="12.75" customHeight="1">
      <c r="A62" s="32"/>
      <c r="B62" s="949" t="s">
        <v>962</v>
      </c>
      <c r="C62" s="957"/>
      <c r="D62" s="63" t="s">
        <v>36</v>
      </c>
      <c r="E62" s="64" t="e">
        <f>'Interior Lighting'!O26/'Interior Lighting'!S26</f>
        <v>#DIV/0!</v>
      </c>
      <c r="F62" s="1001" t="s">
        <v>581</v>
      </c>
      <c r="G62" s="1002"/>
      <c r="H62" s="1003" t="e">
        <f>'Interior Lighting'!K26/'Interior Lighting'!S26</f>
        <v>#DIV/0!</v>
      </c>
      <c r="I62" s="1004"/>
      <c r="J62" s="888" t="s">
        <v>344</v>
      </c>
      <c r="K62" s="888"/>
      <c r="L62" s="889"/>
      <c r="M62" s="556" t="e">
        <f>IF(H62&gt;1.2*E62,"Total specified lighting power for the combined common spaces is exceeding ASHRAE allowances by more than 20%. This is not permitted.","")</f>
        <v>#DIV/0!</v>
      </c>
      <c r="AO62" s="14">
        <v>7</v>
      </c>
    </row>
    <row r="63" spans="1:41" ht="13.5" customHeight="1">
      <c r="A63" s="32"/>
      <c r="B63" s="949" t="s">
        <v>990</v>
      </c>
      <c r="C63" s="957"/>
      <c r="D63" s="63" t="s">
        <v>183</v>
      </c>
      <c r="E63" s="872" t="b">
        <f>IF('Exterior Lighting'!C9="Table 9.4.5 of ASHRAE 90.1-2007",'Exterior Lighting'!C37,IF('Exterior Lighting'!C9="Zone 2: ASHRAE 90.1-2010",'Exterior Lighting'!D37,IF('Exterior Lighting'!C9="Zone 3: ASHRAE 90.1-2010",'Exterior Lighting'!E37,IF('Exterior Lighting'!C9="Zone 4: ASHRAE 90.1-2010",'Exterior Lighting'!F37))))</f>
        <v>0</v>
      </c>
      <c r="F63" s="873"/>
      <c r="G63" s="874"/>
      <c r="H63" s="875">
        <f>'Exterior Lighting'!G37</f>
        <v>0</v>
      </c>
      <c r="I63" s="954"/>
      <c r="J63" s="954"/>
      <c r="K63" s="954"/>
      <c r="L63" s="955"/>
      <c r="AO63" s="14">
        <v>8</v>
      </c>
    </row>
    <row r="64" spans="1:12" ht="13.5" customHeight="1">
      <c r="A64" s="32"/>
      <c r="B64" s="765" t="s">
        <v>987</v>
      </c>
      <c r="C64" s="760"/>
      <c r="D64" s="63" t="s">
        <v>183</v>
      </c>
      <c r="E64" s="872" t="e">
        <f>'Exterior Lighting'!H27</f>
        <v>#N/A</v>
      </c>
      <c r="F64" s="873"/>
      <c r="G64" s="874"/>
      <c r="H64" s="875">
        <f>'Exterior Lighting'!I27</f>
        <v>0</v>
      </c>
      <c r="I64" s="876"/>
      <c r="J64" s="876"/>
      <c r="K64" s="876"/>
      <c r="L64" s="877"/>
    </row>
    <row r="65" spans="1:12" ht="12.75">
      <c r="A65" s="32"/>
      <c r="B65" s="921" t="s">
        <v>447</v>
      </c>
      <c r="C65" s="921"/>
      <c r="D65" s="63"/>
      <c r="E65" s="1005" t="s">
        <v>1031</v>
      </c>
      <c r="F65" s="1006"/>
      <c r="G65" s="1007"/>
      <c r="H65" s="881"/>
      <c r="I65" s="882"/>
      <c r="J65" s="882"/>
      <c r="K65" s="882"/>
      <c r="L65" s="883"/>
    </row>
    <row r="66" spans="1:12" ht="12.75">
      <c r="A66" s="32"/>
      <c r="B66" s="921" t="s">
        <v>448</v>
      </c>
      <c r="C66" s="928"/>
      <c r="D66" s="63" t="s">
        <v>794</v>
      </c>
      <c r="E66" s="878"/>
      <c r="F66" s="879"/>
      <c r="G66" s="880"/>
      <c r="H66" s="881"/>
      <c r="I66" s="882"/>
      <c r="J66" s="882"/>
      <c r="K66" s="882"/>
      <c r="L66" s="883"/>
    </row>
    <row r="67" spans="1:12" ht="12.75">
      <c r="A67" s="32"/>
      <c r="B67" s="921" t="s">
        <v>450</v>
      </c>
      <c r="C67" s="928"/>
      <c r="D67" s="63" t="s">
        <v>794</v>
      </c>
      <c r="E67" s="878"/>
      <c r="F67" s="879"/>
      <c r="G67" s="880"/>
      <c r="H67" s="881"/>
      <c r="I67" s="882"/>
      <c r="J67" s="882"/>
      <c r="K67" s="882"/>
      <c r="L67" s="883"/>
    </row>
    <row r="68" spans="1:12" ht="12.75">
      <c r="A68" s="32"/>
      <c r="B68" s="936" t="s">
        <v>786</v>
      </c>
      <c r="C68" s="928"/>
      <c r="D68" s="63" t="s">
        <v>794</v>
      </c>
      <c r="E68" s="878"/>
      <c r="F68" s="879"/>
      <c r="G68" s="880"/>
      <c r="H68" s="881"/>
      <c r="I68" s="882"/>
      <c r="J68" s="882"/>
      <c r="K68" s="882"/>
      <c r="L68" s="883"/>
    </row>
    <row r="69" spans="1:12" ht="12.75">
      <c r="A69" s="32"/>
      <c r="B69" s="1064" t="s">
        <v>553</v>
      </c>
      <c r="C69" s="952"/>
      <c r="D69" s="952"/>
      <c r="E69" s="952"/>
      <c r="F69" s="952"/>
      <c r="G69" s="952"/>
      <c r="H69" s="952"/>
      <c r="I69" s="952"/>
      <c r="J69" s="952"/>
      <c r="K69" s="952"/>
      <c r="L69" s="953"/>
    </row>
    <row r="70" spans="1:12" ht="12.75">
      <c r="A70" s="32"/>
      <c r="B70" s="936" t="s">
        <v>963</v>
      </c>
      <c r="C70" s="921"/>
      <c r="D70" s="63" t="s">
        <v>554</v>
      </c>
      <c r="E70" s="878"/>
      <c r="F70" s="879"/>
      <c r="G70" s="880"/>
      <c r="H70" s="881"/>
      <c r="I70" s="882"/>
      <c r="J70" s="882"/>
      <c r="K70" s="882"/>
      <c r="L70" s="883"/>
    </row>
    <row r="71" spans="1:12" ht="12.75">
      <c r="A71" s="32"/>
      <c r="B71" s="936" t="s">
        <v>1023</v>
      </c>
      <c r="C71" s="928"/>
      <c r="D71" s="63" t="s">
        <v>1024</v>
      </c>
      <c r="E71" s="878"/>
      <c r="F71" s="879"/>
      <c r="G71" s="880"/>
      <c r="H71" s="881"/>
      <c r="I71" s="882"/>
      <c r="J71" s="882"/>
      <c r="K71" s="882"/>
      <c r="L71" s="883"/>
    </row>
    <row r="72" spans="1:12" ht="12.75">
      <c r="A72" s="32"/>
      <c r="B72" s="782" t="s">
        <v>1020</v>
      </c>
      <c r="C72" s="577"/>
      <c r="D72" s="63" t="s">
        <v>1022</v>
      </c>
      <c r="E72" s="878"/>
      <c r="F72" s="879"/>
      <c r="G72" s="880"/>
      <c r="H72" s="881"/>
      <c r="I72" s="882"/>
      <c r="J72" s="882"/>
      <c r="K72" s="882"/>
      <c r="L72" s="883"/>
    </row>
    <row r="73" spans="1:12" ht="13.5" customHeight="1">
      <c r="A73" s="32"/>
      <c r="B73" s="782" t="s">
        <v>1021</v>
      </c>
      <c r="C73" s="783"/>
      <c r="D73" s="63" t="s">
        <v>1022</v>
      </c>
      <c r="E73" s="878"/>
      <c r="F73" s="879"/>
      <c r="G73" s="880"/>
      <c r="H73" s="881"/>
      <c r="I73" s="882"/>
      <c r="J73" s="882"/>
      <c r="K73" s="882"/>
      <c r="L73" s="883"/>
    </row>
    <row r="74" spans="1:12" ht="13.5">
      <c r="A74" s="32"/>
      <c r="B74" s="937" t="s">
        <v>808</v>
      </c>
      <c r="C74" s="948"/>
      <c r="D74" s="63" t="s">
        <v>793</v>
      </c>
      <c r="E74" s="933">
        <v>0.06</v>
      </c>
      <c r="F74" s="934"/>
      <c r="G74" s="935"/>
      <c r="H74" s="881"/>
      <c r="I74" s="882"/>
      <c r="J74" s="882"/>
      <c r="K74" s="882"/>
      <c r="L74" s="883"/>
    </row>
    <row r="75" spans="1:12" ht="12.75">
      <c r="A75" s="32"/>
      <c r="B75" s="936" t="s">
        <v>791</v>
      </c>
      <c r="C75" s="928"/>
      <c r="D75" s="63" t="s">
        <v>454</v>
      </c>
      <c r="E75" s="108"/>
      <c r="F75" s="780"/>
      <c r="G75" s="796"/>
      <c r="H75" s="109"/>
      <c r="I75" s="779"/>
      <c r="J75" s="780"/>
      <c r="K75" s="110"/>
      <c r="L75" s="111"/>
    </row>
    <row r="76" spans="1:12" ht="12.75">
      <c r="A76" s="32"/>
      <c r="B76" s="936" t="s">
        <v>792</v>
      </c>
      <c r="C76" s="928"/>
      <c r="D76" s="63" t="s">
        <v>456</v>
      </c>
      <c r="E76" s="108"/>
      <c r="F76" s="780"/>
      <c r="G76" s="796"/>
      <c r="H76" s="109"/>
      <c r="I76" s="779"/>
      <c r="J76" s="780"/>
      <c r="K76" s="110"/>
      <c r="L76" s="111"/>
    </row>
    <row r="77" spans="1:12" ht="12.75" customHeight="1">
      <c r="A77" s="32"/>
      <c r="B77" s="921" t="s">
        <v>457</v>
      </c>
      <c r="C77" s="928"/>
      <c r="D77" s="63" t="s">
        <v>966</v>
      </c>
      <c r="E77" s="933" t="s">
        <v>967</v>
      </c>
      <c r="F77" s="934"/>
      <c r="G77" s="935"/>
      <c r="H77" s="878"/>
      <c r="I77" s="879"/>
      <c r="J77" s="879"/>
      <c r="K77" s="879"/>
      <c r="L77" s="1008"/>
    </row>
    <row r="78" spans="1:12" ht="12.75" customHeight="1">
      <c r="A78" s="32"/>
      <c r="B78" s="980" t="s">
        <v>458</v>
      </c>
      <c r="C78" s="980"/>
      <c r="D78" s="980"/>
      <c r="E78" s="980"/>
      <c r="F78" s="980"/>
      <c r="G78" s="980"/>
      <c r="H78" s="980"/>
      <c r="I78" s="980"/>
      <c r="J78" s="980"/>
      <c r="K78" s="980"/>
      <c r="L78" s="981"/>
    </row>
    <row r="79" spans="2:12" ht="12.75">
      <c r="B79" s="920" t="s">
        <v>590</v>
      </c>
      <c r="C79" s="921"/>
      <c r="D79" s="63" t="s">
        <v>968</v>
      </c>
      <c r="E79" s="1038"/>
      <c r="F79" s="1044"/>
      <c r="G79" s="1045"/>
      <c r="H79" s="939"/>
      <c r="I79" s="940"/>
      <c r="J79" s="940"/>
      <c r="K79" s="940"/>
      <c r="L79" s="941"/>
    </row>
    <row r="80" spans="2:12" ht="12.75">
      <c r="B80" s="937" t="s">
        <v>148</v>
      </c>
      <c r="C80" s="928"/>
      <c r="D80" s="63" t="s">
        <v>969</v>
      </c>
      <c r="E80" s="977" t="s">
        <v>993</v>
      </c>
      <c r="F80" s="978"/>
      <c r="G80" s="979"/>
      <c r="H80" s="768">
        <f>'DHW Demand'!G6</f>
        <v>0</v>
      </c>
      <c r="I80" s="769" t="s">
        <v>994</v>
      </c>
      <c r="J80" s="771">
        <f>'Water Savings'!A26</f>
        <v>0</v>
      </c>
      <c r="K80" s="769" t="s">
        <v>995</v>
      </c>
      <c r="L80" s="770"/>
    </row>
    <row r="81" spans="2:12" ht="12.75">
      <c r="B81" s="578" t="s">
        <v>783</v>
      </c>
      <c r="C81" s="577"/>
      <c r="D81" s="63" t="s">
        <v>969</v>
      </c>
      <c r="E81" s="977" t="s">
        <v>993</v>
      </c>
      <c r="F81" s="978"/>
      <c r="G81" s="979"/>
      <c r="H81" s="768">
        <f>'DHW Demand'!G7</f>
        <v>0</v>
      </c>
      <c r="I81" s="769" t="s">
        <v>994</v>
      </c>
      <c r="J81" s="771">
        <f>'Water Savings'!A25</f>
        <v>0</v>
      </c>
      <c r="K81" s="769" t="s">
        <v>995</v>
      </c>
      <c r="L81" s="770"/>
    </row>
    <row r="82" spans="2:12" ht="12.75">
      <c r="B82" s="920" t="s">
        <v>146</v>
      </c>
      <c r="C82" s="928"/>
      <c r="D82" s="63" t="s">
        <v>969</v>
      </c>
      <c r="E82" s="977" t="s">
        <v>993</v>
      </c>
      <c r="F82" s="978"/>
      <c r="G82" s="979"/>
      <c r="H82" s="768">
        <f>'DHW Demand'!C8</f>
        <v>0</v>
      </c>
      <c r="I82" s="769" t="s">
        <v>994</v>
      </c>
      <c r="J82" s="771">
        <f>'Water Savings'!A24</f>
        <v>0</v>
      </c>
      <c r="K82" s="769" t="s">
        <v>995</v>
      </c>
      <c r="L82" s="770"/>
    </row>
    <row r="83" spans="2:12" ht="12.75">
      <c r="B83" s="918" t="s">
        <v>462</v>
      </c>
      <c r="C83" s="919"/>
      <c r="D83" s="65" t="s">
        <v>463</v>
      </c>
      <c r="E83" s="942"/>
      <c r="F83" s="943"/>
      <c r="G83" s="987"/>
      <c r="H83" s="942"/>
      <c r="I83" s="943"/>
      <c r="J83" s="943"/>
      <c r="K83" s="943"/>
      <c r="L83" s="944"/>
    </row>
    <row r="84" spans="2:12" ht="12.75" customHeight="1">
      <c r="B84" s="998" t="s">
        <v>464</v>
      </c>
      <c r="C84" s="999"/>
      <c r="D84" s="999"/>
      <c r="E84" s="999"/>
      <c r="F84" s="999"/>
      <c r="G84" s="999"/>
      <c r="H84" s="999"/>
      <c r="I84" s="999"/>
      <c r="J84" s="999"/>
      <c r="K84" s="999"/>
      <c r="L84" s="1000"/>
    </row>
    <row r="85" spans="2:12" ht="12.75">
      <c r="B85" s="938" t="s">
        <v>465</v>
      </c>
      <c r="C85" s="924"/>
      <c r="D85" s="66"/>
      <c r="E85" s="982" t="s">
        <v>586</v>
      </c>
      <c r="F85" s="983"/>
      <c r="G85" s="984"/>
      <c r="H85" s="945"/>
      <c r="I85" s="946"/>
      <c r="J85" s="946"/>
      <c r="K85" s="946"/>
      <c r="L85" s="947"/>
    </row>
    <row r="86" spans="2:12" ht="12.75">
      <c r="B86" s="920" t="s">
        <v>466</v>
      </c>
      <c r="C86" s="921"/>
      <c r="D86" s="63" t="s">
        <v>61</v>
      </c>
      <c r="E86" s="1005">
        <v>0</v>
      </c>
      <c r="F86" s="1006"/>
      <c r="G86" s="1007"/>
      <c r="H86" s="881"/>
      <c r="I86" s="882"/>
      <c r="J86" s="882"/>
      <c r="K86" s="882"/>
      <c r="L86" s="883"/>
    </row>
    <row r="87" spans="1:12" ht="12.75" customHeight="1">
      <c r="A87" s="32"/>
      <c r="B87" s="980" t="s">
        <v>299</v>
      </c>
      <c r="C87" s="980"/>
      <c r="D87" s="980"/>
      <c r="E87" s="980"/>
      <c r="F87" s="980"/>
      <c r="G87" s="980"/>
      <c r="H87" s="980"/>
      <c r="I87" s="980"/>
      <c r="J87" s="980"/>
      <c r="K87" s="980"/>
      <c r="L87" s="981"/>
    </row>
    <row r="88" spans="2:12" ht="12.75">
      <c r="B88" s="920"/>
      <c r="C88" s="921"/>
      <c r="D88" s="63"/>
      <c r="E88" s="992"/>
      <c r="F88" s="993"/>
      <c r="G88" s="994"/>
      <c r="H88" s="896"/>
      <c r="I88" s="897"/>
      <c r="J88" s="897"/>
      <c r="K88" s="897"/>
      <c r="L88" s="898"/>
    </row>
    <row r="89" spans="2:12" ht="12.75">
      <c r="B89" s="67"/>
      <c r="C89" s="47"/>
      <c r="D89" s="63"/>
      <c r="E89" s="992"/>
      <c r="F89" s="993"/>
      <c r="G89" s="994"/>
      <c r="H89" s="896"/>
      <c r="I89" s="897"/>
      <c r="J89" s="897"/>
      <c r="K89" s="897"/>
      <c r="L89" s="898"/>
    </row>
    <row r="90" spans="1:12" ht="13.5" thickBot="1">
      <c r="A90" s="32"/>
      <c r="B90" s="969"/>
      <c r="C90" s="969"/>
      <c r="D90" s="68"/>
      <c r="E90" s="989"/>
      <c r="F90" s="990"/>
      <c r="G90" s="991"/>
      <c r="H90" s="995"/>
      <c r="I90" s="996"/>
      <c r="J90" s="996"/>
      <c r="K90" s="996"/>
      <c r="L90" s="997"/>
    </row>
    <row r="91" spans="1:12" ht="13.5" thickBot="1">
      <c r="A91" s="32"/>
      <c r="B91" s="36"/>
      <c r="C91" s="36"/>
      <c r="D91" s="36"/>
      <c r="E91" s="36"/>
      <c r="F91" s="36"/>
      <c r="G91" s="36"/>
      <c r="H91" s="36"/>
      <c r="I91" s="36"/>
      <c r="J91" s="36"/>
      <c r="K91" s="36"/>
      <c r="L91" s="37"/>
    </row>
    <row r="92" spans="1:12" ht="15.75" thickBot="1">
      <c r="A92" s="32"/>
      <c r="B92" s="33" t="s">
        <v>47</v>
      </c>
      <c r="I92" s="60"/>
      <c r="J92" s="60"/>
      <c r="K92" s="60"/>
      <c r="L92" s="61"/>
    </row>
    <row r="93" spans="2:12" ht="42" customHeight="1">
      <c r="B93" s="69" t="s">
        <v>467</v>
      </c>
      <c r="C93" s="70"/>
      <c r="D93" s="62" t="s">
        <v>82</v>
      </c>
      <c r="E93" s="973" t="s">
        <v>18</v>
      </c>
      <c r="F93" s="974"/>
      <c r="G93" s="973" t="s">
        <v>19</v>
      </c>
      <c r="H93" s="988"/>
      <c r="I93" s="985" t="s">
        <v>767</v>
      </c>
      <c r="J93" s="974"/>
      <c r="K93" s="985" t="s">
        <v>766</v>
      </c>
      <c r="L93" s="986"/>
    </row>
    <row r="94" spans="2:12" ht="12.75" customHeight="1">
      <c r="B94" s="1085" t="s">
        <v>21</v>
      </c>
      <c r="C94" s="1086"/>
      <c r="D94" s="1086"/>
      <c r="E94" s="1086"/>
      <c r="F94" s="1086"/>
      <c r="G94" s="1086"/>
      <c r="H94" s="1086"/>
      <c r="I94" s="1086"/>
      <c r="J94" s="1086"/>
      <c r="K94" s="1086"/>
      <c r="L94" s="1087"/>
    </row>
    <row r="95" spans="2:12" ht="12.75">
      <c r="B95" s="938" t="s">
        <v>22</v>
      </c>
      <c r="C95" s="925"/>
      <c r="D95" s="71" t="s">
        <v>60</v>
      </c>
      <c r="E95" s="975" t="e">
        <f>'Results from eQUEST'!S17</f>
        <v>#DIV/0!</v>
      </c>
      <c r="F95" s="976"/>
      <c r="G95" s="975">
        <f>'Results from eQUEST'!S19</f>
        <v>0</v>
      </c>
      <c r="H95" s="976"/>
      <c r="I95" s="911" t="e">
        <f>IF(E95&gt;0,(E95-G95)/E95,"NA")</f>
        <v>#DIV/0!</v>
      </c>
      <c r="J95" s="912"/>
      <c r="K95" s="892" t="e">
        <f>$C$120*(E95-G95)/$E$133</f>
        <v>#DIV/0!</v>
      </c>
      <c r="L95" s="893"/>
    </row>
    <row r="96" spans="2:12" ht="12.75">
      <c r="B96" s="920" t="s">
        <v>23</v>
      </c>
      <c r="C96" s="928"/>
      <c r="D96" s="72" t="s">
        <v>60</v>
      </c>
      <c r="E96" s="1071" t="e">
        <f>'Results from eQUEST'!O17+'Results from eQUEST'!U17</f>
        <v>#DIV/0!</v>
      </c>
      <c r="F96" s="895"/>
      <c r="G96" s="894">
        <f>'Results from eQUEST'!O19+'Results from eQUEST'!U19</f>
        <v>0</v>
      </c>
      <c r="H96" s="895"/>
      <c r="I96" s="913" t="e">
        <f aca="true" t="shared" si="0" ref="I96:I104">IF(E96&gt;0,(E96-G96)/E96,"NA")</f>
        <v>#DIV/0!</v>
      </c>
      <c r="J96" s="914"/>
      <c r="K96" s="899" t="e">
        <f aca="true" t="shared" si="1" ref="K96:K104">$C$120*(E96-G96)/$E$133</f>
        <v>#DIV/0!</v>
      </c>
      <c r="L96" s="900"/>
    </row>
    <row r="97" spans="2:13" ht="12.75">
      <c r="B97" s="920" t="s">
        <v>24</v>
      </c>
      <c r="C97" s="928"/>
      <c r="D97" s="72" t="s">
        <v>60</v>
      </c>
      <c r="E97" s="1071" t="e">
        <f>'Results from eQUEST'!P17+'Results from eQUEST'!Q17</f>
        <v>#DIV/0!</v>
      </c>
      <c r="F97" s="895"/>
      <c r="G97" s="894">
        <f>'Results from eQUEST'!P19+'Results from eQUEST'!Q19</f>
        <v>0</v>
      </c>
      <c r="H97" s="895"/>
      <c r="I97" s="913" t="e">
        <f t="shared" si="0"/>
        <v>#DIV/0!</v>
      </c>
      <c r="J97" s="914"/>
      <c r="K97" s="899" t="e">
        <f t="shared" si="1"/>
        <v>#DIV/0!</v>
      </c>
      <c r="L97" s="900"/>
      <c r="M97" s="576"/>
    </row>
    <row r="98" spans="2:12" ht="12.75">
      <c r="B98" s="920" t="s">
        <v>25</v>
      </c>
      <c r="C98" s="928"/>
      <c r="D98" s="72" t="s">
        <v>60</v>
      </c>
      <c r="E98" s="1071" t="e">
        <f>'Results from eQUEST'!V17</f>
        <v>#DIV/0!</v>
      </c>
      <c r="F98" s="895"/>
      <c r="G98" s="894">
        <f>'Results from eQUEST'!V19</f>
        <v>0</v>
      </c>
      <c r="H98" s="895"/>
      <c r="I98" s="913" t="e">
        <f t="shared" si="0"/>
        <v>#DIV/0!</v>
      </c>
      <c r="J98" s="914"/>
      <c r="K98" s="899" t="e">
        <f t="shared" si="1"/>
        <v>#DIV/0!</v>
      </c>
      <c r="L98" s="900"/>
    </row>
    <row r="99" spans="2:12" ht="12.75">
      <c r="B99" s="920" t="s">
        <v>26</v>
      </c>
      <c r="C99" s="928"/>
      <c r="D99" s="72" t="s">
        <v>60</v>
      </c>
      <c r="E99" s="894" t="e">
        <f>'Results from eQUEST'!L17+'Results from eQUEST'!M17</f>
        <v>#DIV/0!</v>
      </c>
      <c r="F99" s="895"/>
      <c r="G99" s="894">
        <f>'Results from eQUEST'!L19+'Results from eQUEST'!M19</f>
        <v>0</v>
      </c>
      <c r="H99" s="895"/>
      <c r="I99" s="913" t="e">
        <f t="shared" si="0"/>
        <v>#DIV/0!</v>
      </c>
      <c r="J99" s="914"/>
      <c r="K99" s="899" t="e">
        <f t="shared" si="1"/>
        <v>#DIV/0!</v>
      </c>
      <c r="L99" s="900"/>
    </row>
    <row r="100" spans="2:12" ht="12.75">
      <c r="B100" s="920" t="s">
        <v>446</v>
      </c>
      <c r="C100" s="928"/>
      <c r="D100" s="72" t="s">
        <v>60</v>
      </c>
      <c r="E100" s="1071" t="e">
        <f>(E63-E64)*12*365/1000+E64*2.34*365/1000</f>
        <v>#N/A</v>
      </c>
      <c r="F100" s="895"/>
      <c r="G100" s="894">
        <f>(H63-H64)*12*365/1000+H64*2.34*365/1000</f>
        <v>0</v>
      </c>
      <c r="H100" s="895"/>
      <c r="I100" s="913" t="e">
        <f t="shared" si="0"/>
        <v>#N/A</v>
      </c>
      <c r="J100" s="914"/>
      <c r="K100" s="899" t="e">
        <f t="shared" si="1"/>
        <v>#N/A</v>
      </c>
      <c r="L100" s="900"/>
    </row>
    <row r="101" spans="2:12" ht="12.75">
      <c r="B101" s="920" t="s">
        <v>83</v>
      </c>
      <c r="C101" s="928"/>
      <c r="D101" s="72" t="s">
        <v>60</v>
      </c>
      <c r="E101" s="1071" t="e">
        <f>'Results from eQUEST'!$N$17+'Results from eQUEST'!$T$17-E104</f>
        <v>#DIV/0!</v>
      </c>
      <c r="F101" s="895"/>
      <c r="G101" s="894">
        <f>'Results from eQUEST'!$N$19+'Results from eQUEST'!$T$19-G104</f>
        <v>0</v>
      </c>
      <c r="H101" s="895"/>
      <c r="I101" s="913" t="e">
        <f t="shared" si="0"/>
        <v>#DIV/0!</v>
      </c>
      <c r="J101" s="914"/>
      <c r="K101" s="899" t="e">
        <f t="shared" si="1"/>
        <v>#DIV/0!</v>
      </c>
      <c r="L101" s="900"/>
    </row>
    <row r="102" spans="2:12" ht="12.75">
      <c r="B102" s="578" t="s">
        <v>784</v>
      </c>
      <c r="C102" s="577"/>
      <c r="D102" s="72" t="s">
        <v>60</v>
      </c>
      <c r="E102" s="1071" t="e">
        <f>'Results from eQUEST'!R17</f>
        <v>#DIV/0!</v>
      </c>
      <c r="F102" s="895"/>
      <c r="G102" s="894">
        <f>'Results from eQUEST'!R19</f>
        <v>0</v>
      </c>
      <c r="H102" s="895"/>
      <c r="I102" s="913" t="e">
        <f>IF(E102&gt;0,(E102-G102)/E102,"NA")</f>
        <v>#DIV/0!</v>
      </c>
      <c r="J102" s="914"/>
      <c r="K102" s="899" t="e">
        <f>$C$120*(E102-G102)/$E$133</f>
        <v>#DIV/0!</v>
      </c>
      <c r="L102" s="900"/>
    </row>
    <row r="103" spans="2:12" ht="12.75">
      <c r="B103" s="937" t="s">
        <v>785</v>
      </c>
      <c r="C103" s="928"/>
      <c r="D103" s="72" t="s">
        <v>60</v>
      </c>
      <c r="E103" s="1071" t="e">
        <f>'Results from eQUEST'!W17-E100</f>
        <v>#DIV/0!</v>
      </c>
      <c r="F103" s="895"/>
      <c r="G103" s="894">
        <f>'Results from eQUEST'!W19-G100</f>
        <v>0</v>
      </c>
      <c r="H103" s="895"/>
      <c r="I103" s="913" t="e">
        <f t="shared" si="0"/>
        <v>#DIV/0!</v>
      </c>
      <c r="J103" s="914"/>
      <c r="K103" s="899" t="e">
        <f t="shared" si="1"/>
        <v>#DIV/0!</v>
      </c>
      <c r="L103" s="900"/>
    </row>
    <row r="104" spans="2:12" ht="12.75">
      <c r="B104" s="918" t="s">
        <v>28</v>
      </c>
      <c r="C104" s="919"/>
      <c r="D104" s="73" t="s">
        <v>60</v>
      </c>
      <c r="E104" s="1074">
        <f>Appliances!D28*'Simulation Summary'!C10*Appliances!D58*365/1000+Appliances!D29*('Basic Info'!C19+'Basic Info'!C20)*Appliances!C58*365/1000+Appliances!D31*'Basic Info'!C22*Appliances!C58*365/1000</f>
        <v>0</v>
      </c>
      <c r="F104" s="1075"/>
      <c r="G104" s="1074">
        <f>E104</f>
        <v>0</v>
      </c>
      <c r="H104" s="1075"/>
      <c r="I104" s="1072" t="str">
        <f t="shared" si="0"/>
        <v>NA</v>
      </c>
      <c r="J104" s="1073"/>
      <c r="K104" s="890" t="e">
        <f t="shared" si="1"/>
        <v>#DIV/0!</v>
      </c>
      <c r="L104" s="891"/>
    </row>
    <row r="105" spans="2:12" ht="12.75" customHeight="1">
      <c r="B105" s="915" t="s">
        <v>29</v>
      </c>
      <c r="C105" s="916"/>
      <c r="D105" s="916"/>
      <c r="E105" s="916"/>
      <c r="F105" s="916"/>
      <c r="G105" s="916"/>
      <c r="H105" s="916"/>
      <c r="I105" s="916"/>
      <c r="J105" s="916"/>
      <c r="K105" s="916"/>
      <c r="L105" s="917"/>
    </row>
    <row r="106" spans="2:12" ht="12.75">
      <c r="B106" s="920" t="s">
        <v>23</v>
      </c>
      <c r="C106" s="928"/>
      <c r="D106" s="72" t="s">
        <v>17</v>
      </c>
      <c r="E106" s="894" t="e">
        <f>'Results from eQUEST'!$BA$17*100000/1000000+'Results from eQUEST'!$BG$17*100000/1000000-E111</f>
        <v>#DIV/0!</v>
      </c>
      <c r="F106" s="895"/>
      <c r="G106" s="894">
        <f>'Results from eQUEST'!$BA$19*100000/1000000+'Results from eQUEST'!$BG$19*100000/1000000-G111</f>
        <v>0</v>
      </c>
      <c r="H106" s="895"/>
      <c r="I106" s="911" t="e">
        <f>IF(E106&gt;0,(E106-G106)/E106,"NA")</f>
        <v>#DIV/0!</v>
      </c>
      <c r="J106" s="912"/>
      <c r="K106" s="892" t="e">
        <f>$C$121*(E106-G106)*10/$E$133</f>
        <v>#DIV/0!</v>
      </c>
      <c r="L106" s="893"/>
    </row>
    <row r="107" spans="2:12" ht="12.75" customHeight="1">
      <c r="B107" s="920" t="s">
        <v>25</v>
      </c>
      <c r="C107" s="921"/>
      <c r="D107" s="72" t="s">
        <v>17</v>
      </c>
      <c r="E107" s="894" t="e">
        <f>'Results from eQUEST'!$BH$17*100000/1000000-E112</f>
        <v>#DIV/0!</v>
      </c>
      <c r="F107" s="895"/>
      <c r="G107" s="894">
        <f>'Results from eQUEST'!$BH$19*100000/1000000-G112</f>
        <v>0</v>
      </c>
      <c r="H107" s="895"/>
      <c r="I107" s="913" t="e">
        <f>IF(E107&gt;0,(E107-G107)/E107,"NA")</f>
        <v>#DIV/0!</v>
      </c>
      <c r="J107" s="914"/>
      <c r="K107" s="899" t="e">
        <f>$C$121*(E107-G107)*10/$E$133</f>
        <v>#DIV/0!</v>
      </c>
      <c r="L107" s="900"/>
    </row>
    <row r="108" spans="2:12" ht="12.75">
      <c r="B108" s="920" t="s">
        <v>83</v>
      </c>
      <c r="C108" s="921"/>
      <c r="D108" s="72" t="s">
        <v>17</v>
      </c>
      <c r="E108" s="894" t="e">
        <f>'Results from eQUEST'!$AZ$17*100000/1000000</f>
        <v>#DIV/0!</v>
      </c>
      <c r="F108" s="895"/>
      <c r="G108" s="894">
        <f>'Results from eQUEST'!$AZ$19*100000/1000000</f>
        <v>0</v>
      </c>
      <c r="H108" s="895"/>
      <c r="I108" s="913" t="e">
        <f>IF(E108&gt;0,(E108-G108)/E108,"NA")</f>
        <v>#DIV/0!</v>
      </c>
      <c r="J108" s="914"/>
      <c r="K108" s="899" t="e">
        <f>$C$121*(E108-G108)*10/$E$133</f>
        <v>#DIV/0!</v>
      </c>
      <c r="L108" s="900"/>
    </row>
    <row r="109" spans="2:17" ht="12.75">
      <c r="B109" s="1116" t="s">
        <v>299</v>
      </c>
      <c r="C109" s="1117"/>
      <c r="D109" s="72" t="s">
        <v>17</v>
      </c>
      <c r="E109" s="894" t="e">
        <f>'Results from eQUEST'!$BI$17*100000/1000000-E113</f>
        <v>#DIV/0!</v>
      </c>
      <c r="F109" s="895"/>
      <c r="G109" s="894">
        <f>'Results from eQUEST'!$BJ$19*100000/1000000-SUM(G106:H108)-G113</f>
        <v>0</v>
      </c>
      <c r="H109" s="895"/>
      <c r="I109" s="913" t="e">
        <f>IF(E109&gt;0,(E109-G109)/E109,"NA")</f>
        <v>#DIV/0!</v>
      </c>
      <c r="J109" s="914"/>
      <c r="K109" s="899" t="e">
        <f>$C$121*(E109-G109)*10/$E$133</f>
        <v>#DIV/0!</v>
      </c>
      <c r="L109" s="900"/>
      <c r="P109" s="1124"/>
      <c r="Q109" s="1124"/>
    </row>
    <row r="110" spans="2:12" ht="12.75" customHeight="1">
      <c r="B110" s="915" t="s">
        <v>30</v>
      </c>
      <c r="C110" s="922"/>
      <c r="D110" s="922"/>
      <c r="E110" s="922"/>
      <c r="F110" s="922"/>
      <c r="G110" s="922"/>
      <c r="H110" s="922"/>
      <c r="I110" s="922"/>
      <c r="J110" s="922"/>
      <c r="K110" s="922"/>
      <c r="L110" s="923"/>
    </row>
    <row r="111" spans="1:12" ht="12.75">
      <c r="A111" s="32"/>
      <c r="B111" s="924" t="s">
        <v>23</v>
      </c>
      <c r="C111" s="925"/>
      <c r="D111" s="71" t="s">
        <v>17</v>
      </c>
      <c r="E111" s="926"/>
      <c r="F111" s="927"/>
      <c r="G111" s="926"/>
      <c r="H111" s="927"/>
      <c r="I111" s="911" t="str">
        <f>IF(E111&gt;0,(E111-G111)/E111,"NA")</f>
        <v>NA</v>
      </c>
      <c r="J111" s="912"/>
      <c r="K111" s="892" t="e">
        <f>$C$122*(E111-G111)*7.1/$E$133</f>
        <v>#DIV/0!</v>
      </c>
      <c r="L111" s="893"/>
    </row>
    <row r="112" spans="1:12" ht="12.75" customHeight="1">
      <c r="A112" s="32"/>
      <c r="B112" s="921" t="s">
        <v>25</v>
      </c>
      <c r="C112" s="921"/>
      <c r="D112" s="72" t="s">
        <v>17</v>
      </c>
      <c r="E112" s="1119"/>
      <c r="F112" s="1120"/>
      <c r="G112" s="1119"/>
      <c r="H112" s="1120"/>
      <c r="I112" s="913" t="str">
        <f>IF(E112&gt;0,(E112-G112)/E112,"NA")</f>
        <v>NA</v>
      </c>
      <c r="J112" s="914"/>
      <c r="K112" s="899" t="e">
        <f>$C$122*(E112-G112)*7.1/$E$133</f>
        <v>#DIV/0!</v>
      </c>
      <c r="L112" s="900"/>
    </row>
    <row r="113" spans="1:12" ht="12.75" customHeight="1">
      <c r="A113" s="32"/>
      <c r="B113" s="1118" t="s">
        <v>299</v>
      </c>
      <c r="C113" s="919"/>
      <c r="D113" s="72" t="s">
        <v>17</v>
      </c>
      <c r="E113" s="1125"/>
      <c r="F113" s="1126"/>
      <c r="G113" s="1125"/>
      <c r="H113" s="1126"/>
      <c r="I113" s="1072" t="str">
        <f>IF(E113&gt;0,(E113-G113)/E113,"NA")</f>
        <v>NA</v>
      </c>
      <c r="J113" s="1073"/>
      <c r="K113" s="890" t="e">
        <f>$C$122*(E113-G113)*7.1/$E$133</f>
        <v>#DIV/0!</v>
      </c>
      <c r="L113" s="891"/>
    </row>
    <row r="114" spans="1:12" ht="12.75" customHeight="1">
      <c r="A114" s="32"/>
      <c r="B114" s="922" t="s">
        <v>31</v>
      </c>
      <c r="C114" s="922"/>
      <c r="D114" s="922"/>
      <c r="E114" s="922"/>
      <c r="F114" s="922"/>
      <c r="G114" s="922"/>
      <c r="H114" s="922"/>
      <c r="I114" s="922"/>
      <c r="J114" s="922"/>
      <c r="K114" s="922"/>
      <c r="L114" s="923"/>
    </row>
    <row r="115" spans="1:13" ht="12.75">
      <c r="A115" s="32"/>
      <c r="B115" s="931" t="s">
        <v>21</v>
      </c>
      <c r="C115" s="932"/>
      <c r="D115" s="72" t="s">
        <v>60</v>
      </c>
      <c r="E115" s="894" t="e">
        <f>SUM(E95:F104)</f>
        <v>#DIV/0!</v>
      </c>
      <c r="F115" s="895"/>
      <c r="G115" s="894">
        <f>SUM(G95:H104)</f>
        <v>0</v>
      </c>
      <c r="H115" s="895"/>
      <c r="I115" s="911" t="e">
        <f>IF(E115&gt;0,(E115-G115)/E115,"NA")</f>
        <v>#DIV/0!</v>
      </c>
      <c r="J115" s="912"/>
      <c r="K115" s="892" t="e">
        <f>$C$120*(E115-G115)/$E$133</f>
        <v>#DIV/0!</v>
      </c>
      <c r="L115" s="893"/>
      <c r="M115" s="767" t="e">
        <f>E115*3412</f>
        <v>#DIV/0!</v>
      </c>
    </row>
    <row r="116" spans="1:13" ht="12.75">
      <c r="A116" s="32"/>
      <c r="B116" s="931" t="s">
        <v>29</v>
      </c>
      <c r="C116" s="932"/>
      <c r="D116" s="72" t="s">
        <v>17</v>
      </c>
      <c r="E116" s="894" t="e">
        <f>SUM(E106:F109)</f>
        <v>#DIV/0!</v>
      </c>
      <c r="F116" s="895"/>
      <c r="G116" s="894">
        <f>SUM(G106:H109)</f>
        <v>0</v>
      </c>
      <c r="H116" s="895"/>
      <c r="I116" s="913" t="e">
        <f>IF(E116&gt;0,(E116-G116)/E116,"NA")</f>
        <v>#DIV/0!</v>
      </c>
      <c r="J116" s="914"/>
      <c r="K116" s="899" t="e">
        <f>$C$121*(E116-G116)*10/$E$133</f>
        <v>#DIV/0!</v>
      </c>
      <c r="L116" s="900"/>
      <c r="M116" s="767">
        <f>G115*3412</f>
        <v>0</v>
      </c>
    </row>
    <row r="117" spans="1:12" ht="13.5" thickBot="1">
      <c r="A117" s="32"/>
      <c r="B117" s="929" t="s">
        <v>32</v>
      </c>
      <c r="C117" s="930"/>
      <c r="D117" s="74" t="s">
        <v>17</v>
      </c>
      <c r="E117" s="1105">
        <f>SUM(E111:F113)</f>
        <v>0</v>
      </c>
      <c r="F117" s="1106"/>
      <c r="G117" s="1105">
        <f>SUM(G111:H113)</f>
        <v>0</v>
      </c>
      <c r="H117" s="1106"/>
      <c r="I117" s="1107" t="str">
        <f>IF(E117&gt;0,(E117-G117)/E117,"NA")</f>
        <v>NA</v>
      </c>
      <c r="J117" s="1108"/>
      <c r="K117" s="890" t="e">
        <f>$C$122*(E117-G117)*7.1/$E$133</f>
        <v>#DIV/0!</v>
      </c>
      <c r="L117" s="891"/>
    </row>
    <row r="118" spans="1:12" ht="13.5" thickBot="1">
      <c r="A118" s="32"/>
      <c r="B118" s="75"/>
      <c r="C118" s="76"/>
      <c r="D118" s="76"/>
      <c r="E118" s="76"/>
      <c r="F118" s="76"/>
      <c r="G118" s="76"/>
      <c r="H118" s="76"/>
      <c r="I118" s="76"/>
      <c r="J118" s="76"/>
      <c r="K118" s="76"/>
      <c r="L118" s="77"/>
    </row>
    <row r="119" spans="1:12" ht="15.75" thickBot="1">
      <c r="A119" s="32"/>
      <c r="B119" s="59" t="s">
        <v>48</v>
      </c>
      <c r="C119" s="60"/>
      <c r="D119" s="60"/>
      <c r="E119" s="60"/>
      <c r="F119" s="60"/>
      <c r="G119" s="60"/>
      <c r="H119" s="60"/>
      <c r="I119" s="60"/>
      <c r="J119" s="60"/>
      <c r="K119" s="60"/>
      <c r="L119" s="61"/>
    </row>
    <row r="120" spans="1:12" ht="13.5" thickBot="1">
      <c r="A120" s="32"/>
      <c r="B120" s="78" t="s">
        <v>307</v>
      </c>
      <c r="C120" s="79">
        <f>'Simulation Summary'!C17</f>
        <v>0</v>
      </c>
      <c r="D120" s="80" t="s">
        <v>308</v>
      </c>
      <c r="E120" s="81"/>
      <c r="F120" s="81"/>
      <c r="G120" s="81"/>
      <c r="H120" s="81"/>
      <c r="I120" s="81"/>
      <c r="J120" s="81"/>
      <c r="K120" s="81"/>
      <c r="L120" s="82"/>
    </row>
    <row r="121" spans="1:12" ht="13.5" thickBot="1">
      <c r="A121" s="32"/>
      <c r="B121" s="83" t="s">
        <v>300</v>
      </c>
      <c r="C121" s="84">
        <f>'Simulation Summary'!C18</f>
        <v>0</v>
      </c>
      <c r="D121" s="61" t="s">
        <v>309</v>
      </c>
      <c r="E121" s="81"/>
      <c r="F121" s="81"/>
      <c r="G121" s="81"/>
      <c r="H121" s="81"/>
      <c r="I121" s="81"/>
      <c r="J121" s="81"/>
      <c r="K121" s="81"/>
      <c r="L121" s="82"/>
    </row>
    <row r="122" spans="1:12" ht="13.5" thickBot="1">
      <c r="A122" s="32"/>
      <c r="B122" s="83" t="s">
        <v>468</v>
      </c>
      <c r="C122" s="84">
        <f>'Simulation Summary'!C19</f>
        <v>0</v>
      </c>
      <c r="D122" s="61" t="s">
        <v>12</v>
      </c>
      <c r="E122" s="81"/>
      <c r="F122" s="81"/>
      <c r="G122" s="81"/>
      <c r="H122" s="81"/>
      <c r="I122" s="81"/>
      <c r="J122" s="81"/>
      <c r="K122" s="81"/>
      <c r="L122" s="82"/>
    </row>
    <row r="123" spans="1:12" ht="12.75">
      <c r="A123" s="32"/>
      <c r="B123" s="49"/>
      <c r="C123" s="49"/>
      <c r="D123" s="49"/>
      <c r="E123" s="49"/>
      <c r="F123" s="49"/>
      <c r="G123" s="49"/>
      <c r="H123" s="49"/>
      <c r="I123" s="49"/>
      <c r="J123" s="49"/>
      <c r="K123" s="49"/>
      <c r="L123" s="28"/>
    </row>
    <row r="124" spans="1:12" ht="15.75" thickBot="1">
      <c r="A124" s="32"/>
      <c r="B124" s="33" t="s">
        <v>49</v>
      </c>
      <c r="L124" s="32"/>
    </row>
    <row r="125" spans="1:13" ht="13.5" thickBot="1">
      <c r="A125" s="32"/>
      <c r="B125" s="85"/>
      <c r="C125" s="960" t="s">
        <v>206</v>
      </c>
      <c r="D125" s="960"/>
      <c r="E125" s="961"/>
      <c r="F125" s="86"/>
      <c r="G125" s="960" t="s">
        <v>207</v>
      </c>
      <c r="H125" s="960"/>
      <c r="I125" s="961"/>
      <c r="J125" s="1114" t="s">
        <v>311</v>
      </c>
      <c r="K125" s="901" t="s">
        <v>312</v>
      </c>
      <c r="L125" s="902"/>
      <c r="M125" s="19"/>
    </row>
    <row r="126" spans="1:13" ht="13.5" thickBot="1">
      <c r="A126" s="32"/>
      <c r="B126" s="87"/>
      <c r="C126" s="88" t="s">
        <v>13</v>
      </c>
      <c r="D126" s="89" t="s">
        <v>313</v>
      </c>
      <c r="E126" s="89" t="s">
        <v>317</v>
      </c>
      <c r="F126" s="89"/>
      <c r="G126" s="90" t="s">
        <v>13</v>
      </c>
      <c r="H126" s="90" t="s">
        <v>313</v>
      </c>
      <c r="I126" s="90" t="s">
        <v>317</v>
      </c>
      <c r="J126" s="1115"/>
      <c r="K126" s="903"/>
      <c r="L126" s="904"/>
      <c r="M126" s="19"/>
    </row>
    <row r="127" spans="1:13" ht="18" customHeight="1" thickBot="1">
      <c r="A127" s="32"/>
      <c r="B127" s="91" t="s">
        <v>318</v>
      </c>
      <c r="C127" s="92" t="e">
        <f>'Simulation Summary'!C24</f>
        <v>#DIV/0!</v>
      </c>
      <c r="D127" s="92" t="e">
        <f>'Simulation Summary'!D24</f>
        <v>#DIV/0!</v>
      </c>
      <c r="E127" s="92" t="e">
        <f>'Simulation Summary'!E24</f>
        <v>#DIV/0!</v>
      </c>
      <c r="F127" s="89"/>
      <c r="G127" s="92">
        <f>'Simulation Summary'!F24</f>
        <v>0</v>
      </c>
      <c r="H127" s="92">
        <f>'Simulation Summary'!G24</f>
        <v>0</v>
      </c>
      <c r="I127" s="92">
        <f>'Simulation Summary'!H24</f>
        <v>0</v>
      </c>
      <c r="J127" s="93" t="e">
        <f>'Simulation Summary'!I24</f>
        <v>#DIV/0!</v>
      </c>
      <c r="K127" s="907" t="e">
        <f>'Simulation Summary'!J24</f>
        <v>#DIV/0!</v>
      </c>
      <c r="L127" s="908"/>
      <c r="M127" s="19"/>
    </row>
    <row r="128" spans="1:13" ht="18" customHeight="1" thickBot="1">
      <c r="A128" s="32"/>
      <c r="B128" s="91" t="s">
        <v>319</v>
      </c>
      <c r="C128" s="92" t="e">
        <f>'Simulation Summary'!C25</f>
        <v>#DIV/0!</v>
      </c>
      <c r="D128" s="92" t="e">
        <f>'Simulation Summary'!D25</f>
        <v>#DIV/0!</v>
      </c>
      <c r="E128" s="92" t="e">
        <f>'Simulation Summary'!E25</f>
        <v>#DIV/0!</v>
      </c>
      <c r="F128" s="89"/>
      <c r="G128" s="92">
        <f>'Simulation Summary'!F25</f>
        <v>0</v>
      </c>
      <c r="H128" s="92">
        <f>'Simulation Summary'!G25</f>
        <v>0</v>
      </c>
      <c r="I128" s="92">
        <f>'Simulation Summary'!H25</f>
        <v>0</v>
      </c>
      <c r="J128" s="93" t="e">
        <f>'Simulation Summary'!I25</f>
        <v>#DIV/0!</v>
      </c>
      <c r="K128" s="909" t="e">
        <f>'Simulation Summary'!J25</f>
        <v>#DIV/0!</v>
      </c>
      <c r="L128" s="910"/>
      <c r="M128" s="19"/>
    </row>
    <row r="129" spans="1:13" ht="18" customHeight="1" thickBot="1">
      <c r="A129" s="32"/>
      <c r="B129" s="60" t="s">
        <v>320</v>
      </c>
      <c r="C129" s="92" t="e">
        <f>'Simulation Summary'!C26</f>
        <v>#DIV/0!</v>
      </c>
      <c r="D129" s="92" t="e">
        <f>'Simulation Summary'!D26</f>
        <v>#DIV/0!</v>
      </c>
      <c r="E129" s="92" t="e">
        <f>'Simulation Summary'!E26</f>
        <v>#DIV/0!</v>
      </c>
      <c r="F129" s="89"/>
      <c r="G129" s="92">
        <f>'Simulation Summary'!F26</f>
        <v>0</v>
      </c>
      <c r="H129" s="92">
        <f>'Simulation Summary'!G26</f>
        <v>0</v>
      </c>
      <c r="I129" s="92">
        <f>'Simulation Summary'!H26</f>
        <v>0</v>
      </c>
      <c r="J129" s="93" t="e">
        <f>'Simulation Summary'!I26</f>
        <v>#DIV/0!</v>
      </c>
      <c r="K129" s="907" t="e">
        <f>'Simulation Summary'!J26</f>
        <v>#DIV/0!</v>
      </c>
      <c r="L129" s="908"/>
      <c r="M129" s="19"/>
    </row>
    <row r="130" spans="1:13" ht="18" customHeight="1" thickBot="1">
      <c r="A130" s="32"/>
      <c r="B130" s="60" t="s">
        <v>321</v>
      </c>
      <c r="C130" s="92" t="e">
        <f>'Simulation Summary'!C27</f>
        <v>#DIV/0!</v>
      </c>
      <c r="D130" s="92" t="e">
        <f>'Simulation Summary'!D27</f>
        <v>#DIV/0!</v>
      </c>
      <c r="E130" s="92" t="e">
        <f>'Simulation Summary'!E27</f>
        <v>#DIV/0!</v>
      </c>
      <c r="F130" s="89"/>
      <c r="G130" s="92">
        <f>'Simulation Summary'!F27</f>
        <v>0</v>
      </c>
      <c r="H130" s="92">
        <f>'Simulation Summary'!G27</f>
        <v>0</v>
      </c>
      <c r="I130" s="92">
        <f>'Simulation Summary'!H27</f>
        <v>0</v>
      </c>
      <c r="J130" s="93" t="e">
        <f>'Simulation Summary'!I27</f>
        <v>#DIV/0!</v>
      </c>
      <c r="K130" s="909" t="e">
        <f>'Simulation Summary'!J27</f>
        <v>#DIV/0!</v>
      </c>
      <c r="L130" s="910"/>
      <c r="M130" s="19"/>
    </row>
    <row r="131" spans="1:13" ht="18" customHeight="1" thickBot="1">
      <c r="A131" s="32"/>
      <c r="B131" s="60" t="s">
        <v>322</v>
      </c>
      <c r="C131" s="92" t="e">
        <f>'Simulation Summary'!C28</f>
        <v>#DIV/0!</v>
      </c>
      <c r="D131" s="92" t="e">
        <f>'Simulation Summary'!D28</f>
        <v>#DIV/0!</v>
      </c>
      <c r="E131" s="92" t="e">
        <f>'Simulation Summary'!E28</f>
        <v>#DIV/0!</v>
      </c>
      <c r="F131" s="89"/>
      <c r="G131" s="92">
        <f>'Simulation Summary'!F28</f>
        <v>0</v>
      </c>
      <c r="H131" s="92">
        <f>'Simulation Summary'!G28</f>
        <v>0</v>
      </c>
      <c r="I131" s="92">
        <f>'Simulation Summary'!H28</f>
        <v>0</v>
      </c>
      <c r="J131" s="93" t="e">
        <f>'Simulation Summary'!I28</f>
        <v>#DIV/0!</v>
      </c>
      <c r="K131" s="907" t="e">
        <f>'Simulation Summary'!J28</f>
        <v>#DIV/0!</v>
      </c>
      <c r="L131" s="908"/>
      <c r="M131" s="19"/>
    </row>
    <row r="132" spans="1:13" ht="18" customHeight="1" thickBot="1">
      <c r="A132" s="32"/>
      <c r="B132" s="60" t="s">
        <v>323</v>
      </c>
      <c r="C132" s="92" t="e">
        <f>'Simulation Summary'!C29</f>
        <v>#DIV/0!</v>
      </c>
      <c r="D132" s="92" t="e">
        <f>'Simulation Summary'!D29</f>
        <v>#DIV/0!</v>
      </c>
      <c r="E132" s="92" t="e">
        <f>'Simulation Summary'!E29</f>
        <v>#DIV/0!</v>
      </c>
      <c r="F132" s="89"/>
      <c r="G132" s="92">
        <f>'Simulation Summary'!F29</f>
        <v>0</v>
      </c>
      <c r="H132" s="92">
        <f>'Simulation Summary'!G29</f>
        <v>0</v>
      </c>
      <c r="I132" s="92">
        <f>'Simulation Summary'!H29</f>
        <v>0</v>
      </c>
      <c r="J132" s="93" t="e">
        <f>'Simulation Summary'!I29</f>
        <v>#DIV/0!</v>
      </c>
      <c r="K132" s="909" t="e">
        <f>'Simulation Summary'!J29</f>
        <v>#DIV/0!</v>
      </c>
      <c r="L132" s="910"/>
      <c r="M132" s="19"/>
    </row>
    <row r="133" spans="1:13" ht="15" customHeight="1" thickBot="1">
      <c r="A133" s="32"/>
      <c r="B133" s="537" t="s">
        <v>809</v>
      </c>
      <c r="C133" s="92" t="e">
        <f>'Simulation Summary'!C30</f>
        <v>#DIV/0!</v>
      </c>
      <c r="D133" s="92" t="e">
        <f>'Simulation Summary'!D30</f>
        <v>#DIV/0!</v>
      </c>
      <c r="E133" s="92" t="e">
        <f>'Simulation Summary'!E30</f>
        <v>#DIV/0!</v>
      </c>
      <c r="F133" s="89"/>
      <c r="G133" s="92">
        <f>'Simulation Summary'!F30</f>
        <v>0</v>
      </c>
      <c r="H133" s="92">
        <f>'Simulation Summary'!G30</f>
        <v>0</v>
      </c>
      <c r="I133" s="92">
        <f>'Simulation Summary'!H30</f>
        <v>0</v>
      </c>
      <c r="J133" s="93" t="e">
        <f>'Simulation Summary'!I30</f>
        <v>#DIV/0!</v>
      </c>
      <c r="K133" s="905" t="e">
        <f>'Simulation Summary'!J30</f>
        <v>#DIV/0!</v>
      </c>
      <c r="L133" s="906"/>
      <c r="M133" s="766" t="e">
        <f>IF(D133=M115,"","Total Baseline kWh in Table 6 does not match when converted to BTU in Table 8")</f>
        <v>#DIV/0!</v>
      </c>
    </row>
    <row r="134" spans="1:13" ht="15" customHeight="1" thickBot="1">
      <c r="A134" s="32"/>
      <c r="B134" s="586" t="s">
        <v>810</v>
      </c>
      <c r="C134" s="92">
        <f>'Simulation Summary'!C31</f>
        <v>0</v>
      </c>
      <c r="D134" s="92">
        <f>'Simulation Summary'!D31</f>
        <v>0</v>
      </c>
      <c r="E134" s="92">
        <f>'Simulation Summary'!E31</f>
        <v>0</v>
      </c>
      <c r="F134" s="89"/>
      <c r="G134" s="92">
        <f>'Simulation Summary'!F31</f>
        <v>0</v>
      </c>
      <c r="H134" s="92">
        <f>'Simulation Summary'!G31</f>
        <v>0</v>
      </c>
      <c r="I134" s="92">
        <f>'Simulation Summary'!H31</f>
        <v>0</v>
      </c>
      <c r="J134" s="93">
        <f>'Simulation Summary'!I31</f>
        <v>0</v>
      </c>
      <c r="K134" s="884">
        <f>'Simulation Summary'!J31</f>
        <v>0</v>
      </c>
      <c r="L134" s="885"/>
      <c r="M134" s="766">
        <f>IF(H133=M116,"","Total Proposed kWh in Table 6 does not match when converted to BTU in Table 8")</f>
      </c>
    </row>
    <row r="135" spans="1:12" ht="15" customHeight="1" thickBot="1">
      <c r="A135" s="32"/>
      <c r="B135" s="584" t="s">
        <v>811</v>
      </c>
      <c r="C135" s="92" t="e">
        <f>'Simulation Summary'!C32</f>
        <v>#DIV/0!</v>
      </c>
      <c r="D135" s="92" t="e">
        <f>'Simulation Summary'!D32</f>
        <v>#DIV/0!</v>
      </c>
      <c r="E135" s="92" t="e">
        <f>'Simulation Summary'!E32</f>
        <v>#DIV/0!</v>
      </c>
      <c r="F135" s="89"/>
      <c r="G135" s="92">
        <f>'Simulation Summary'!F32</f>
        <v>0</v>
      </c>
      <c r="H135" s="92">
        <f>'Simulation Summary'!G32</f>
        <v>0</v>
      </c>
      <c r="I135" s="92">
        <f>'Simulation Summary'!H32</f>
        <v>0</v>
      </c>
      <c r="J135" s="93" t="e">
        <f>'Simulation Summary'!I32</f>
        <v>#DIV/0!</v>
      </c>
      <c r="K135" s="884" t="e">
        <f>'Simulation Summary'!J32</f>
        <v>#DIV/0!</v>
      </c>
      <c r="L135" s="885"/>
    </row>
    <row r="136" spans="1:12" ht="13.5" thickBot="1">
      <c r="A136" s="32"/>
      <c r="B136" s="58"/>
      <c r="C136" s="36"/>
      <c r="D136" s="36"/>
      <c r="E136" s="36"/>
      <c r="F136" s="36"/>
      <c r="G136" s="36"/>
      <c r="H136" s="36"/>
      <c r="I136" s="36"/>
      <c r="J136" s="36"/>
      <c r="K136" s="36"/>
      <c r="L136" s="37"/>
    </row>
    <row r="137" spans="1:13" ht="15.75" thickBot="1">
      <c r="A137" s="32"/>
      <c r="B137" s="33" t="s">
        <v>50</v>
      </c>
      <c r="L137" s="32"/>
      <c r="M137" s="19"/>
    </row>
    <row r="138" spans="1:12" ht="13.5" thickBot="1">
      <c r="A138" s="32"/>
      <c r="B138" s="94"/>
      <c r="C138" s="95" t="s">
        <v>206</v>
      </c>
      <c r="D138" s="89" t="s">
        <v>207</v>
      </c>
      <c r="E138" s="96"/>
      <c r="F138" s="97"/>
      <c r="G138" s="97"/>
      <c r="H138" s="97"/>
      <c r="I138" s="97"/>
      <c r="J138" s="97"/>
      <c r="K138" s="97"/>
      <c r="L138" s="98"/>
    </row>
    <row r="139" spans="1:12" ht="13.5" thickBot="1">
      <c r="A139" s="32"/>
      <c r="B139" s="94"/>
      <c r="C139" s="95" t="s">
        <v>329</v>
      </c>
      <c r="D139" s="89" t="s">
        <v>329</v>
      </c>
      <c r="E139" s="99"/>
      <c r="F139" s="100"/>
      <c r="G139" s="100"/>
      <c r="H139" s="100"/>
      <c r="I139" s="100"/>
      <c r="J139" s="100"/>
      <c r="K139" s="100"/>
      <c r="L139" s="101"/>
    </row>
    <row r="140" spans="1:12" ht="13.5" thickBot="1">
      <c r="A140" s="32"/>
      <c r="B140" s="60" t="s">
        <v>318</v>
      </c>
      <c r="C140" s="102">
        <f>'Simulation Summary'!C53</f>
        <v>0</v>
      </c>
      <c r="D140" s="92">
        <f>'Simulation Summary'!D53</f>
        <v>0</v>
      </c>
      <c r="E140" s="99"/>
      <c r="F140" s="100"/>
      <c r="G140" s="100"/>
      <c r="H140" s="100"/>
      <c r="I140" s="100"/>
      <c r="J140" s="100"/>
      <c r="K140" s="100"/>
      <c r="L140" s="101"/>
    </row>
    <row r="141" spans="1:12" ht="13.5" thickBot="1">
      <c r="A141" s="32"/>
      <c r="B141" s="60" t="s">
        <v>319</v>
      </c>
      <c r="C141" s="102">
        <f>'Simulation Summary'!C54</f>
        <v>0</v>
      </c>
      <c r="D141" s="92">
        <f>'Simulation Summary'!D54</f>
        <v>0</v>
      </c>
      <c r="E141" s="99"/>
      <c r="F141" s="100"/>
      <c r="G141" s="100"/>
      <c r="H141" s="100"/>
      <c r="I141" s="100"/>
      <c r="J141" s="100"/>
      <c r="K141" s="100"/>
      <c r="L141" s="101"/>
    </row>
    <row r="142" spans="1:12" ht="13.5" thickBot="1">
      <c r="A142" s="32"/>
      <c r="B142" s="60" t="s">
        <v>320</v>
      </c>
      <c r="C142" s="102">
        <f>'Simulation Summary'!C55</f>
        <v>0</v>
      </c>
      <c r="D142" s="92">
        <f>'Simulation Summary'!D55</f>
        <v>0</v>
      </c>
      <c r="E142" s="99"/>
      <c r="F142" s="100"/>
      <c r="G142" s="100"/>
      <c r="H142" s="100"/>
      <c r="I142" s="100"/>
      <c r="J142" s="100"/>
      <c r="K142" s="100"/>
      <c r="L142" s="101"/>
    </row>
    <row r="143" spans="1:12" ht="13.5" thickBot="1">
      <c r="A143" s="32"/>
      <c r="B143" s="60" t="s">
        <v>321</v>
      </c>
      <c r="C143" s="102">
        <f>'Simulation Summary'!C56</f>
        <v>0</v>
      </c>
      <c r="D143" s="92">
        <f>'Simulation Summary'!D56</f>
        <v>0</v>
      </c>
      <c r="E143" s="99"/>
      <c r="F143" s="100"/>
      <c r="G143" s="100"/>
      <c r="H143" s="100"/>
      <c r="I143" s="100"/>
      <c r="J143" s="100"/>
      <c r="K143" s="100"/>
      <c r="L143" s="101"/>
    </row>
    <row r="144" spans="1:12" ht="13.5" thickBot="1">
      <c r="A144" s="32"/>
      <c r="B144" s="60" t="s">
        <v>322</v>
      </c>
      <c r="C144" s="102">
        <f>'Simulation Summary'!C57</f>
        <v>0</v>
      </c>
      <c r="D144" s="92">
        <f>'Simulation Summary'!D57</f>
        <v>0</v>
      </c>
      <c r="E144" s="99"/>
      <c r="F144" s="100"/>
      <c r="G144" s="100"/>
      <c r="H144" s="100"/>
      <c r="I144" s="100"/>
      <c r="J144" s="100"/>
      <c r="K144" s="100"/>
      <c r="L144" s="101"/>
    </row>
    <row r="145" spans="1:12" ht="13.5" thickBot="1">
      <c r="A145" s="32"/>
      <c r="B145" s="60" t="s">
        <v>323</v>
      </c>
      <c r="C145" s="102">
        <f>'Simulation Summary'!C58</f>
        <v>0</v>
      </c>
      <c r="D145" s="92">
        <f>'Simulation Summary'!D58</f>
        <v>0</v>
      </c>
      <c r="E145" s="99"/>
      <c r="F145" s="100"/>
      <c r="G145" s="100"/>
      <c r="H145" s="100"/>
      <c r="I145" s="100"/>
      <c r="J145" s="100"/>
      <c r="K145" s="100"/>
      <c r="L145" s="101"/>
    </row>
    <row r="146" spans="1:12" ht="13.5" thickBot="1">
      <c r="A146" s="32"/>
      <c r="B146" s="537" t="s">
        <v>809</v>
      </c>
      <c r="C146" s="102">
        <f>'Simulation Summary'!C59</f>
        <v>0</v>
      </c>
      <c r="D146" s="92">
        <f>'Simulation Summary'!D59</f>
        <v>0</v>
      </c>
      <c r="E146" s="103"/>
      <c r="F146" s="104"/>
      <c r="G146" s="104"/>
      <c r="H146" s="104"/>
      <c r="I146" s="104"/>
      <c r="J146" s="104"/>
      <c r="K146" s="104"/>
      <c r="L146" s="105"/>
    </row>
    <row r="147" spans="1:12" ht="12.75">
      <c r="A147" s="32"/>
      <c r="B147" s="49"/>
      <c r="C147" s="49"/>
      <c r="D147" s="49"/>
      <c r="E147" s="49"/>
      <c r="F147" s="49"/>
      <c r="G147" s="49"/>
      <c r="H147" s="49"/>
      <c r="I147" s="49"/>
      <c r="J147" s="49"/>
      <c r="K147" s="49"/>
      <c r="L147" s="28"/>
    </row>
  </sheetData>
  <sheetProtection sheet="1"/>
  <mergeCells count="318">
    <mergeCell ref="P109:Q109"/>
    <mergeCell ref="E113:F113"/>
    <mergeCell ref="G113:H113"/>
    <mergeCell ref="K112:L112"/>
    <mergeCell ref="K111:L111"/>
    <mergeCell ref="I115:J115"/>
    <mergeCell ref="I113:J113"/>
    <mergeCell ref="K113:L113"/>
    <mergeCell ref="B51:C51"/>
    <mergeCell ref="B52:C52"/>
    <mergeCell ref="E112:F112"/>
    <mergeCell ref="G100:H100"/>
    <mergeCell ref="E115:F115"/>
    <mergeCell ref="G104:H104"/>
    <mergeCell ref="E107:F107"/>
    <mergeCell ref="G111:H111"/>
    <mergeCell ref="G112:H112"/>
    <mergeCell ref="J125:J126"/>
    <mergeCell ref="C125:E125"/>
    <mergeCell ref="E108:F108"/>
    <mergeCell ref="I24:L24"/>
    <mergeCell ref="B53:C53"/>
    <mergeCell ref="B38:D38"/>
    <mergeCell ref="I116:J116"/>
    <mergeCell ref="B109:C109"/>
    <mergeCell ref="B113:C113"/>
    <mergeCell ref="E109:F109"/>
    <mergeCell ref="E117:F117"/>
    <mergeCell ref="G117:H117"/>
    <mergeCell ref="I117:J117"/>
    <mergeCell ref="I23:L23"/>
    <mergeCell ref="B46:L46"/>
    <mergeCell ref="H58:L58"/>
    <mergeCell ref="B48:C48"/>
    <mergeCell ref="B50:C50"/>
    <mergeCell ref="G109:H109"/>
    <mergeCell ref="K117:L117"/>
    <mergeCell ref="B2:L3"/>
    <mergeCell ref="I7:L7"/>
    <mergeCell ref="I8:L8"/>
    <mergeCell ref="H45:L45"/>
    <mergeCell ref="I30:L30"/>
    <mergeCell ref="B97:C97"/>
    <mergeCell ref="E57:G57"/>
    <mergeCell ref="I9:L9"/>
    <mergeCell ref="I10:L10"/>
    <mergeCell ref="I11:L11"/>
    <mergeCell ref="E102:F102"/>
    <mergeCell ref="B106:C106"/>
    <mergeCell ref="G102:H102"/>
    <mergeCell ref="E96:F96"/>
    <mergeCell ref="B100:C100"/>
    <mergeCell ref="B98:C98"/>
    <mergeCell ref="E106:F106"/>
    <mergeCell ref="G106:H106"/>
    <mergeCell ref="E101:F101"/>
    <mergeCell ref="I16:L16"/>
    <mergeCell ref="D8:F8"/>
    <mergeCell ref="D10:F10"/>
    <mergeCell ref="G7:H7"/>
    <mergeCell ref="E99:F99"/>
    <mergeCell ref="G99:H99"/>
    <mergeCell ref="E97:F97"/>
    <mergeCell ref="G97:H97"/>
    <mergeCell ref="B94:L94"/>
    <mergeCell ref="B96:C96"/>
    <mergeCell ref="I31:L31"/>
    <mergeCell ref="K98:L98"/>
    <mergeCell ref="G95:H95"/>
    <mergeCell ref="I14:L14"/>
    <mergeCell ref="E89:G89"/>
    <mergeCell ref="I25:L25"/>
    <mergeCell ref="I26:L26"/>
    <mergeCell ref="I27:L27"/>
    <mergeCell ref="I28:L28"/>
    <mergeCell ref="D17:F17"/>
    <mergeCell ref="B49:C49"/>
    <mergeCell ref="I17:L17"/>
    <mergeCell ref="E100:F100"/>
    <mergeCell ref="I103:J103"/>
    <mergeCell ref="I104:J104"/>
    <mergeCell ref="E98:F98"/>
    <mergeCell ref="I98:J98"/>
    <mergeCell ref="E103:F103"/>
    <mergeCell ref="E104:F104"/>
    <mergeCell ref="K97:L97"/>
    <mergeCell ref="G8:H8"/>
    <mergeCell ref="D9:F9"/>
    <mergeCell ref="G26:H26"/>
    <mergeCell ref="G16:H16"/>
    <mergeCell ref="D16:F16"/>
    <mergeCell ref="B32:C32"/>
    <mergeCell ref="G27:H27"/>
    <mergeCell ref="G28:H28"/>
    <mergeCell ref="G24:H24"/>
    <mergeCell ref="D11:F11"/>
    <mergeCell ref="D7:F7"/>
    <mergeCell ref="B17:C17"/>
    <mergeCell ref="B66:C66"/>
    <mergeCell ref="B69:L69"/>
    <mergeCell ref="H65:L65"/>
    <mergeCell ref="B41:D41"/>
    <mergeCell ref="B10:C10"/>
    <mergeCell ref="B30:C30"/>
    <mergeCell ref="B22:C22"/>
    <mergeCell ref="B25:C25"/>
    <mergeCell ref="E45:G45"/>
    <mergeCell ref="B40:D40"/>
    <mergeCell ref="B45:C45"/>
    <mergeCell ref="E47:G47"/>
    <mergeCell ref="B42:D42"/>
    <mergeCell ref="F36:L42"/>
    <mergeCell ref="B37:D37"/>
    <mergeCell ref="B36:D36"/>
    <mergeCell ref="B39:D39"/>
    <mergeCell ref="E48:G48"/>
    <mergeCell ref="H48:L48"/>
    <mergeCell ref="B14:C14"/>
    <mergeCell ref="H55:L55"/>
    <mergeCell ref="H56:L56"/>
    <mergeCell ref="H57:L57"/>
    <mergeCell ref="D26:F26"/>
    <mergeCell ref="D27:F27"/>
    <mergeCell ref="B21:C21"/>
    <mergeCell ref="D28:F28"/>
    <mergeCell ref="E56:G56"/>
    <mergeCell ref="E55:G55"/>
    <mergeCell ref="B55:C55"/>
    <mergeCell ref="E86:G86"/>
    <mergeCell ref="E82:G82"/>
    <mergeCell ref="E58:G58"/>
    <mergeCell ref="E61:G61"/>
    <mergeCell ref="B65:C65"/>
    <mergeCell ref="E79:G79"/>
    <mergeCell ref="B56:C56"/>
    <mergeCell ref="D20:F20"/>
    <mergeCell ref="G15:H15"/>
    <mergeCell ref="G17:H17"/>
    <mergeCell ref="D14:F14"/>
    <mergeCell ref="B35:D35"/>
    <mergeCell ref="B31:C31"/>
    <mergeCell ref="G21:H21"/>
    <mergeCell ref="G14:H14"/>
    <mergeCell ref="F34:L34"/>
    <mergeCell ref="I15:L15"/>
    <mergeCell ref="B15:C15"/>
    <mergeCell ref="B20:C20"/>
    <mergeCell ref="D15:F15"/>
    <mergeCell ref="D21:F21"/>
    <mergeCell ref="D22:F22"/>
    <mergeCell ref="B16:C16"/>
    <mergeCell ref="I20:L20"/>
    <mergeCell ref="I21:L21"/>
    <mergeCell ref="I22:L22"/>
    <mergeCell ref="B54:C54"/>
    <mergeCell ref="E54:G54"/>
    <mergeCell ref="G22:H22"/>
    <mergeCell ref="G23:H23"/>
    <mergeCell ref="D24:F24"/>
    <mergeCell ref="H54:L54"/>
    <mergeCell ref="D23:F23"/>
    <mergeCell ref="I32:L32"/>
    <mergeCell ref="H47:L47"/>
    <mergeCell ref="D25:F25"/>
    <mergeCell ref="F62:G62"/>
    <mergeCell ref="E70:G70"/>
    <mergeCell ref="E77:G77"/>
    <mergeCell ref="H62:I62"/>
    <mergeCell ref="E65:G65"/>
    <mergeCell ref="H77:L77"/>
    <mergeCell ref="E66:G66"/>
    <mergeCell ref="H74:L74"/>
    <mergeCell ref="I95:J95"/>
    <mergeCell ref="G93:H93"/>
    <mergeCell ref="E90:G90"/>
    <mergeCell ref="E88:G88"/>
    <mergeCell ref="H90:L90"/>
    <mergeCell ref="B84:L84"/>
    <mergeCell ref="B95:C95"/>
    <mergeCell ref="I93:J93"/>
    <mergeCell ref="K93:L93"/>
    <mergeCell ref="H86:L86"/>
    <mergeCell ref="H88:L88"/>
    <mergeCell ref="B86:C86"/>
    <mergeCell ref="E83:G83"/>
    <mergeCell ref="B88:C88"/>
    <mergeCell ref="E80:G80"/>
    <mergeCell ref="B80:C80"/>
    <mergeCell ref="B76:C76"/>
    <mergeCell ref="E85:G85"/>
    <mergeCell ref="B87:L87"/>
    <mergeCell ref="B77:C77"/>
    <mergeCell ref="B82:C82"/>
    <mergeCell ref="B79:C79"/>
    <mergeCell ref="G98:H98"/>
    <mergeCell ref="E93:F93"/>
    <mergeCell ref="B90:C90"/>
    <mergeCell ref="E95:F95"/>
    <mergeCell ref="E81:G81"/>
    <mergeCell ref="B67:C67"/>
    <mergeCell ref="B78:L78"/>
    <mergeCell ref="B75:C75"/>
    <mergeCell ref="H67:L67"/>
    <mergeCell ref="H68:L68"/>
    <mergeCell ref="B57:C57"/>
    <mergeCell ref="B26:C26"/>
    <mergeCell ref="G125:I125"/>
    <mergeCell ref="B7:C7"/>
    <mergeCell ref="B8:C8"/>
    <mergeCell ref="B9:C9"/>
    <mergeCell ref="B11:C11"/>
    <mergeCell ref="B28:C28"/>
    <mergeCell ref="B47:C47"/>
    <mergeCell ref="B58:C58"/>
    <mergeCell ref="B60:C60"/>
    <mergeCell ref="B59:L59"/>
    <mergeCell ref="E63:G63"/>
    <mergeCell ref="J62:L62"/>
    <mergeCell ref="H63:L63"/>
    <mergeCell ref="B61:C61"/>
    <mergeCell ref="H61:I61"/>
    <mergeCell ref="J61:L61"/>
    <mergeCell ref="B63:C63"/>
    <mergeCell ref="B62:C62"/>
    <mergeCell ref="B68:C68"/>
    <mergeCell ref="B85:C85"/>
    <mergeCell ref="H79:L79"/>
    <mergeCell ref="H83:L83"/>
    <mergeCell ref="H85:L85"/>
    <mergeCell ref="B74:C74"/>
    <mergeCell ref="B83:C83"/>
    <mergeCell ref="H71:L71"/>
    <mergeCell ref="B71:C71"/>
    <mergeCell ref="E74:G74"/>
    <mergeCell ref="B70:C70"/>
    <mergeCell ref="E68:G68"/>
    <mergeCell ref="B103:C103"/>
    <mergeCell ref="I100:J100"/>
    <mergeCell ref="I101:J101"/>
    <mergeCell ref="I96:J96"/>
    <mergeCell ref="I97:J97"/>
    <mergeCell ref="H70:L70"/>
    <mergeCell ref="E71:G71"/>
    <mergeCell ref="K96:L96"/>
    <mergeCell ref="K100:L100"/>
    <mergeCell ref="B101:C101"/>
    <mergeCell ref="B99:C99"/>
    <mergeCell ref="G96:H96"/>
    <mergeCell ref="B117:C117"/>
    <mergeCell ref="B115:C115"/>
    <mergeCell ref="G116:H116"/>
    <mergeCell ref="B116:C116"/>
    <mergeCell ref="G115:H115"/>
    <mergeCell ref="I112:J112"/>
    <mergeCell ref="E116:F116"/>
    <mergeCell ref="B112:C112"/>
    <mergeCell ref="B114:L114"/>
    <mergeCell ref="K116:L116"/>
    <mergeCell ref="B108:C108"/>
    <mergeCell ref="B111:C111"/>
    <mergeCell ref="E111:F111"/>
    <mergeCell ref="I111:J111"/>
    <mergeCell ref="K115:L115"/>
    <mergeCell ref="B107:C107"/>
    <mergeCell ref="K107:L107"/>
    <mergeCell ref="G107:H107"/>
    <mergeCell ref="I109:J109"/>
    <mergeCell ref="B110:L110"/>
    <mergeCell ref="K109:L109"/>
    <mergeCell ref="G108:H108"/>
    <mergeCell ref="K108:L108"/>
    <mergeCell ref="I106:J106"/>
    <mergeCell ref="I107:J107"/>
    <mergeCell ref="K101:L101"/>
    <mergeCell ref="I108:J108"/>
    <mergeCell ref="I102:J102"/>
    <mergeCell ref="I99:J99"/>
    <mergeCell ref="K103:L103"/>
    <mergeCell ref="B105:L105"/>
    <mergeCell ref="G103:H103"/>
    <mergeCell ref="B104:C104"/>
    <mergeCell ref="K102:L102"/>
    <mergeCell ref="K125:L126"/>
    <mergeCell ref="K133:L133"/>
    <mergeCell ref="K131:L131"/>
    <mergeCell ref="K132:L132"/>
    <mergeCell ref="K130:L130"/>
    <mergeCell ref="K127:L127"/>
    <mergeCell ref="K128:L128"/>
    <mergeCell ref="K129:L129"/>
    <mergeCell ref="K135:L135"/>
    <mergeCell ref="H60:I60"/>
    <mergeCell ref="J60:L60"/>
    <mergeCell ref="K104:L104"/>
    <mergeCell ref="K106:L106"/>
    <mergeCell ref="G101:H101"/>
    <mergeCell ref="H89:L89"/>
    <mergeCell ref="K95:L95"/>
    <mergeCell ref="K134:L134"/>
    <mergeCell ref="K99:L99"/>
    <mergeCell ref="E49:G49"/>
    <mergeCell ref="H49:L49"/>
    <mergeCell ref="E53:G53"/>
    <mergeCell ref="H50:L50"/>
    <mergeCell ref="H51:L51"/>
    <mergeCell ref="H52:L52"/>
    <mergeCell ref="H53:L53"/>
    <mergeCell ref="E50:G50"/>
    <mergeCell ref="E51:G51"/>
    <mergeCell ref="E52:G52"/>
    <mergeCell ref="E64:G64"/>
    <mergeCell ref="H64:L64"/>
    <mergeCell ref="E72:G72"/>
    <mergeCell ref="E73:G73"/>
    <mergeCell ref="H72:L72"/>
    <mergeCell ref="H73:L73"/>
    <mergeCell ref="H66:L66"/>
    <mergeCell ref="E67:G67"/>
  </mergeCells>
  <dataValidations count="8">
    <dataValidation type="list" allowBlank="1" showInputMessage="1" showErrorMessage="1" sqref="D7">
      <formula1>"Schematic Drawings, Working Drawings,Construction Contract Awarded, Currently Under Construction, Development Complete"</formula1>
    </dataValidation>
    <dataValidation type="list" allowBlank="1" showInputMessage="1" showErrorMessage="1" sqref="E66:L68">
      <formula1>$AJ$46:$AJ$48</formula1>
    </dataValidation>
    <dataValidation type="list" allowBlank="1" showInputMessage="1" showErrorMessage="1" sqref="J76 G76">
      <formula1>$AM$46:$AM$48</formula1>
    </dataValidation>
    <dataValidation type="list" allowBlank="1" showInputMessage="1" showErrorMessage="1" sqref="J75 G75">
      <formula1>$AL$46:$AL$50</formula1>
    </dataValidation>
    <dataValidation type="list" allowBlank="1" showInputMessage="1" showErrorMessage="1" sqref="I15:L15">
      <formula1>$AN$46:$AN$49</formula1>
    </dataValidation>
    <dataValidation type="list" allowBlank="1" showInputMessage="1" showErrorMessage="1" sqref="I17:L17">
      <formula1>$AO$46:$AO$63</formula1>
    </dataValidation>
    <dataValidation type="list" allowBlank="1" showInputMessage="1" showErrorMessage="1" sqref="D23:F24">
      <formula1>$AP$46:$AP$49</formula1>
    </dataValidation>
    <dataValidation type="list" allowBlank="1" showInputMessage="1" showErrorMessage="1" sqref="D25:F26">
      <formula1>$AP$46:$AP$48</formula1>
    </dataValidation>
  </dataValidations>
  <printOptions/>
  <pageMargins left="0.25" right="0.25" top="0.75" bottom="0.75" header="0.3" footer="0.3"/>
  <pageSetup fitToHeight="1" fitToWidth="1" horizontalDpi="400" verticalDpi="400" orientation="portrait" scale="37" r:id="rId1"/>
  <headerFooter alignWithMargins="0">
    <oddFooter>&amp;LEPA ENERGY STAR Multifamily High-Rise Program</oddFooter>
  </headerFooter>
  <rowBreaks count="3" manualBreakCount="3">
    <brk id="43" max="255" man="1"/>
    <brk id="90" max="10" man="1"/>
    <brk id="118" max="255" man="1"/>
  </rowBreaks>
  <ignoredErrors>
    <ignoredError sqref="I32" unlockedFormula="1"/>
  </ignoredErrors>
</worksheet>
</file>

<file path=xl/worksheets/sheet5.xml><?xml version="1.0" encoding="utf-8"?>
<worksheet xmlns="http://schemas.openxmlformats.org/spreadsheetml/2006/main" xmlns:r="http://schemas.openxmlformats.org/officeDocument/2006/relationships">
  <sheetPr>
    <tabColor rgb="FF0070C0"/>
    <pageSetUpPr fitToPage="1"/>
  </sheetPr>
  <dimension ref="A1:S79"/>
  <sheetViews>
    <sheetView zoomScalePageLayoutView="0" workbookViewId="0" topLeftCell="A1">
      <selection activeCell="C11" sqref="C11"/>
    </sheetView>
  </sheetViews>
  <sheetFormatPr defaultColWidth="9.140625" defaultRowHeight="12.75"/>
  <cols>
    <col min="1" max="1" width="3.00390625" style="130" bestFit="1" customWidth="1"/>
    <col min="2" max="2" width="16.28125" style="130" customWidth="1"/>
    <col min="3" max="3" width="15.7109375" style="130" customWidth="1"/>
    <col min="4" max="4" width="10.28125" style="130" customWidth="1"/>
    <col min="5" max="5" width="15.7109375" style="130" customWidth="1"/>
    <col min="6" max="6" width="9.00390625" style="130" customWidth="1"/>
    <col min="7" max="7" width="9.28125" style="130" customWidth="1"/>
    <col min="8" max="8" width="9.7109375" style="130" customWidth="1"/>
    <col min="9" max="9" width="7.28125" style="130" bestFit="1" customWidth="1"/>
    <col min="10" max="10" width="9.7109375" style="130" customWidth="1"/>
    <col min="11" max="11" width="10.28125" style="130" customWidth="1"/>
    <col min="12" max="12" width="8.7109375" style="130" bestFit="1" customWidth="1"/>
    <col min="13" max="13" width="8.57421875" style="130" customWidth="1"/>
    <col min="14" max="14" width="10.7109375" style="130" customWidth="1"/>
    <col min="15" max="15" width="9.7109375" style="130" customWidth="1"/>
    <col min="16" max="16" width="12.421875" style="130" customWidth="1"/>
    <col min="17" max="16384" width="9.140625" style="130" customWidth="1"/>
  </cols>
  <sheetData>
    <row r="1" spans="1:2" ht="14.25">
      <c r="A1" s="129"/>
      <c r="B1" s="15" t="s">
        <v>1018</v>
      </c>
    </row>
    <row r="2" spans="1:2" ht="12.75">
      <c r="A2" s="131">
        <v>1</v>
      </c>
      <c r="B2" s="130" t="s">
        <v>921</v>
      </c>
    </row>
    <row r="3" spans="1:2" ht="12.75">
      <c r="A3" s="131">
        <v>2</v>
      </c>
      <c r="B3" s="131" t="s">
        <v>920</v>
      </c>
    </row>
    <row r="4" spans="1:2" ht="12.75">
      <c r="A4" s="131">
        <v>3</v>
      </c>
      <c r="B4" s="131" t="s">
        <v>924</v>
      </c>
    </row>
    <row r="5" spans="2:16" ht="12.75">
      <c r="B5" s="130" t="s">
        <v>375</v>
      </c>
      <c r="C5" s="132">
        <v>0.03</v>
      </c>
      <c r="P5" s="194"/>
    </row>
    <row r="6" ht="12.75">
      <c r="P6" s="194"/>
    </row>
    <row r="7" spans="1:16" ht="25.5" customHeight="1" thickBot="1">
      <c r="A7" s="133" t="s">
        <v>390</v>
      </c>
      <c r="B7" s="133"/>
      <c r="C7" s="133"/>
      <c r="D7" s="133"/>
      <c r="E7" s="133"/>
      <c r="F7" s="133"/>
      <c r="G7" s="133"/>
      <c r="H7" s="133"/>
      <c r="I7" s="133"/>
      <c r="J7" s="133"/>
      <c r="K7" s="133"/>
      <c r="L7" s="133"/>
      <c r="M7" s="133"/>
      <c r="N7" s="133"/>
      <c r="O7" s="133"/>
      <c r="P7" s="133"/>
    </row>
    <row r="8" spans="1:16" s="787" customFormat="1" ht="26.25" customHeight="1">
      <c r="A8" s="134"/>
      <c r="B8" s="135"/>
      <c r="C8" s="136" t="s">
        <v>376</v>
      </c>
      <c r="D8" s="137"/>
      <c r="E8" s="136" t="s">
        <v>377</v>
      </c>
      <c r="F8" s="137"/>
      <c r="G8" s="138"/>
      <c r="H8" s="137"/>
      <c r="I8" s="137"/>
      <c r="J8" s="137" t="s">
        <v>378</v>
      </c>
      <c r="K8" s="137"/>
      <c r="L8" s="137"/>
      <c r="M8" s="137"/>
      <c r="N8" s="1132" t="s">
        <v>379</v>
      </c>
      <c r="O8" s="1127" t="s">
        <v>380</v>
      </c>
      <c r="P8" s="786"/>
    </row>
    <row r="9" spans="1:17" s="787" customFormat="1" ht="26.25">
      <c r="A9" s="139"/>
      <c r="B9" s="140" t="s">
        <v>577</v>
      </c>
      <c r="C9" s="141" t="s">
        <v>381</v>
      </c>
      <c r="D9" s="140" t="s">
        <v>382</v>
      </c>
      <c r="E9" s="141" t="s">
        <v>381</v>
      </c>
      <c r="F9" s="140" t="s">
        <v>383</v>
      </c>
      <c r="G9" s="142" t="s">
        <v>923</v>
      </c>
      <c r="H9" s="1130" t="s">
        <v>934</v>
      </c>
      <c r="I9" s="1131"/>
      <c r="J9" s="143" t="s">
        <v>384</v>
      </c>
      <c r="K9" s="144" t="s">
        <v>385</v>
      </c>
      <c r="L9" s="145" t="s">
        <v>386</v>
      </c>
      <c r="M9" s="146" t="s">
        <v>387</v>
      </c>
      <c r="N9" s="1133"/>
      <c r="O9" s="1128"/>
      <c r="P9" s="786"/>
      <c r="Q9" s="788"/>
    </row>
    <row r="10" spans="1:16" s="787" customFormat="1" ht="27" thickBot="1">
      <c r="A10" s="147"/>
      <c r="B10" s="148"/>
      <c r="C10" s="149" t="s">
        <v>922</v>
      </c>
      <c r="D10" s="149" t="s">
        <v>922</v>
      </c>
      <c r="E10" s="149" t="s">
        <v>922</v>
      </c>
      <c r="F10" s="149" t="s">
        <v>922</v>
      </c>
      <c r="G10" s="150" t="s">
        <v>922</v>
      </c>
      <c r="H10" s="151" t="s">
        <v>389</v>
      </c>
      <c r="I10" s="152" t="s">
        <v>60</v>
      </c>
      <c r="J10" s="153"/>
      <c r="K10" s="154" t="s">
        <v>62</v>
      </c>
      <c r="L10" s="154" t="s">
        <v>388</v>
      </c>
      <c r="M10" s="155"/>
      <c r="N10" s="1134"/>
      <c r="O10" s="1129"/>
      <c r="P10" s="786"/>
    </row>
    <row r="11" spans="1:16" s="178" customFormat="1" ht="26.25" customHeight="1" thickTop="1">
      <c r="A11" s="156">
        <v>1</v>
      </c>
      <c r="B11" s="157">
        <f>'Results from eQUEST'!J28</f>
        <v>0</v>
      </c>
      <c r="C11" s="797"/>
      <c r="D11" s="798"/>
      <c r="E11" s="797"/>
      <c r="F11" s="798"/>
      <c r="G11" s="799"/>
      <c r="H11" s="158">
        <f>IF(B11=0,0,('Results from eQUEST'!BJ27-'Results from eQUEST'!BJ28)/10)</f>
        <v>0</v>
      </c>
      <c r="I11" s="159">
        <f>IF(B11=0,0,'Results from eQUEST'!X27-'Results from eQUEST'!X28)</f>
        <v>0</v>
      </c>
      <c r="J11" s="160">
        <f aca="true" t="shared" si="0" ref="J11:J23">F11-D11</f>
        <v>0</v>
      </c>
      <c r="K11" s="161">
        <f>I11*'Simulation Summary'!$C$17+H11*'Simulation Summary'!$C$18*10</f>
        <v>0</v>
      </c>
      <c r="L11" s="162">
        <f aca="true" t="shared" si="1" ref="L11:L16">IF(K11&gt;0,J11/K11,0)</f>
        <v>0</v>
      </c>
      <c r="M11" s="163">
        <f aca="true" t="shared" si="2" ref="M11:M16">IF(K11&gt;0,-PV($C$5,G11,K11)/J11,0)</f>
        <v>0</v>
      </c>
      <c r="N11" s="164">
        <f>(M11-1)*J11</f>
        <v>0</v>
      </c>
      <c r="O11" s="165">
        <f>G11*K11</f>
        <v>0</v>
      </c>
      <c r="P11" s="194"/>
    </row>
    <row r="12" spans="1:19" s="178" customFormat="1" ht="26.25" customHeight="1">
      <c r="A12" s="156">
        <v>2</v>
      </c>
      <c r="B12" s="157">
        <f>'Results from eQUEST'!J29</f>
        <v>0</v>
      </c>
      <c r="C12" s="797"/>
      <c r="D12" s="798"/>
      <c r="E12" s="797"/>
      <c r="F12" s="798"/>
      <c r="G12" s="799"/>
      <c r="H12" s="158">
        <f>IF(B12=0,0,('Results from eQUEST'!BJ28-'Results from eQUEST'!BJ29)/10)</f>
        <v>0</v>
      </c>
      <c r="I12" s="159">
        <f>IF(B12=0,0,'Results from eQUEST'!X28-'Results from eQUEST'!X29)</f>
        <v>0</v>
      </c>
      <c r="J12" s="160">
        <f t="shared" si="0"/>
        <v>0</v>
      </c>
      <c r="K12" s="161">
        <f>I12*'Simulation Summary'!$C$17+H12*'Simulation Summary'!$C$18*10</f>
        <v>0</v>
      </c>
      <c r="L12" s="162">
        <f t="shared" si="1"/>
        <v>0</v>
      </c>
      <c r="M12" s="166">
        <f t="shared" si="2"/>
        <v>0</v>
      </c>
      <c r="N12" s="164">
        <f aca="true" t="shared" si="3" ref="N12:N23">(M12-1)*J12</f>
        <v>0</v>
      </c>
      <c r="O12" s="165">
        <f aca="true" t="shared" si="4" ref="O12:O23">G12*K12</f>
        <v>0</v>
      </c>
      <c r="P12" s="194"/>
      <c r="S12" s="667"/>
    </row>
    <row r="13" spans="1:16" s="178" customFormat="1" ht="26.25" customHeight="1">
      <c r="A13" s="156">
        <v>3</v>
      </c>
      <c r="B13" s="157">
        <f>'Results from eQUEST'!J30</f>
        <v>0</v>
      </c>
      <c r="C13" s="797"/>
      <c r="D13" s="798"/>
      <c r="E13" s="797"/>
      <c r="F13" s="798"/>
      <c r="G13" s="799"/>
      <c r="H13" s="158">
        <f>IF(B13=0,0,('Results from eQUEST'!BJ29-'Results from eQUEST'!BJ30)/10)</f>
        <v>0</v>
      </c>
      <c r="I13" s="159">
        <f>IF(B13=0,0,'Results from eQUEST'!X29-'Results from eQUEST'!X30)</f>
        <v>0</v>
      </c>
      <c r="J13" s="160">
        <f t="shared" si="0"/>
        <v>0</v>
      </c>
      <c r="K13" s="161">
        <f>I13*'Simulation Summary'!$C$17+H13*'Simulation Summary'!$C$18*10</f>
        <v>0</v>
      </c>
      <c r="L13" s="162">
        <f t="shared" si="1"/>
        <v>0</v>
      </c>
      <c r="M13" s="166">
        <f t="shared" si="2"/>
        <v>0</v>
      </c>
      <c r="N13" s="164">
        <f t="shared" si="3"/>
        <v>0</v>
      </c>
      <c r="O13" s="165">
        <f t="shared" si="4"/>
        <v>0</v>
      </c>
      <c r="P13" s="194"/>
    </row>
    <row r="14" spans="1:16" s="178" customFormat="1" ht="26.25" customHeight="1">
      <c r="A14" s="156">
        <v>4</v>
      </c>
      <c r="B14" s="157">
        <f>'Results from eQUEST'!J31</f>
        <v>0</v>
      </c>
      <c r="C14" s="797"/>
      <c r="D14" s="798"/>
      <c r="E14" s="797"/>
      <c r="F14" s="798"/>
      <c r="G14" s="799"/>
      <c r="H14" s="158">
        <f>IF(B14=0,0,('Results from eQUEST'!BJ30-'Results from eQUEST'!BJ31)/10)</f>
        <v>0</v>
      </c>
      <c r="I14" s="159">
        <f>IF(B14=0,0,'Results from eQUEST'!X30-'Results from eQUEST'!X31)</f>
        <v>0</v>
      </c>
      <c r="J14" s="160">
        <f t="shared" si="0"/>
        <v>0</v>
      </c>
      <c r="K14" s="161">
        <f>I14*'Simulation Summary'!$C$17+H14*'Simulation Summary'!$C$18*10</f>
        <v>0</v>
      </c>
      <c r="L14" s="162">
        <f t="shared" si="1"/>
        <v>0</v>
      </c>
      <c r="M14" s="166">
        <f t="shared" si="2"/>
        <v>0</v>
      </c>
      <c r="N14" s="164">
        <f t="shared" si="3"/>
        <v>0</v>
      </c>
      <c r="O14" s="165">
        <f t="shared" si="4"/>
        <v>0</v>
      </c>
      <c r="P14" s="194"/>
    </row>
    <row r="15" spans="1:16" s="178" customFormat="1" ht="26.25" customHeight="1">
      <c r="A15" s="156">
        <v>5</v>
      </c>
      <c r="B15" s="157">
        <f>'Results from eQUEST'!J32</f>
        <v>0</v>
      </c>
      <c r="C15" s="797"/>
      <c r="D15" s="798"/>
      <c r="E15" s="797"/>
      <c r="F15" s="798"/>
      <c r="G15" s="799"/>
      <c r="H15" s="158">
        <f>IF(B15=0,0,('Results from eQUEST'!BJ31-'Results from eQUEST'!BJ32)/10)</f>
        <v>0</v>
      </c>
      <c r="I15" s="159">
        <f>IF(B15=0,0,'Results from eQUEST'!X31-'Results from eQUEST'!X32)</f>
        <v>0</v>
      </c>
      <c r="J15" s="160">
        <f t="shared" si="0"/>
        <v>0</v>
      </c>
      <c r="K15" s="161">
        <f>I15*'Simulation Summary'!$C$17+H15*'Simulation Summary'!$C$18*10</f>
        <v>0</v>
      </c>
      <c r="L15" s="162">
        <f t="shared" si="1"/>
        <v>0</v>
      </c>
      <c r="M15" s="166">
        <f t="shared" si="2"/>
        <v>0</v>
      </c>
      <c r="N15" s="164">
        <f t="shared" si="3"/>
        <v>0</v>
      </c>
      <c r="O15" s="165">
        <f t="shared" si="4"/>
        <v>0</v>
      </c>
      <c r="P15" s="194"/>
    </row>
    <row r="16" spans="1:16" s="178" customFormat="1" ht="26.25" customHeight="1">
      <c r="A16" s="156">
        <v>6</v>
      </c>
      <c r="B16" s="157">
        <f>'Results from eQUEST'!J33</f>
        <v>0</v>
      </c>
      <c r="C16" s="797"/>
      <c r="D16" s="798"/>
      <c r="E16" s="797"/>
      <c r="F16" s="798"/>
      <c r="G16" s="799"/>
      <c r="H16" s="158">
        <f>IF(B16=0,0,('Results from eQUEST'!BJ32-'Results from eQUEST'!BJ33)/10)</f>
        <v>0</v>
      </c>
      <c r="I16" s="159">
        <f>IF(B16=0,0,'Results from eQUEST'!X32-'Results from eQUEST'!X33)</f>
        <v>0</v>
      </c>
      <c r="J16" s="160">
        <f t="shared" si="0"/>
        <v>0</v>
      </c>
      <c r="K16" s="161">
        <f>I16*'Simulation Summary'!$C$17+H16*'Simulation Summary'!$C$18*10</f>
        <v>0</v>
      </c>
      <c r="L16" s="162">
        <f t="shared" si="1"/>
        <v>0</v>
      </c>
      <c r="M16" s="167">
        <f t="shared" si="2"/>
        <v>0</v>
      </c>
      <c r="N16" s="164">
        <f t="shared" si="3"/>
        <v>0</v>
      </c>
      <c r="O16" s="165">
        <f t="shared" si="4"/>
        <v>0</v>
      </c>
      <c r="P16" s="194"/>
    </row>
    <row r="17" spans="1:16" s="178" customFormat="1" ht="26.25" customHeight="1">
      <c r="A17" s="156">
        <v>7</v>
      </c>
      <c r="B17" s="157">
        <f>'Results from eQUEST'!J34</f>
        <v>0</v>
      </c>
      <c r="C17" s="797"/>
      <c r="D17" s="798"/>
      <c r="E17" s="797"/>
      <c r="F17" s="798"/>
      <c r="G17" s="799"/>
      <c r="H17" s="158">
        <f>IF(B17=0,0,('Results from eQUEST'!BJ33-'Results from eQUEST'!BJ34)/10)</f>
        <v>0</v>
      </c>
      <c r="I17" s="159">
        <f>IF(B17=0,0,'Results from eQUEST'!X33-'Results from eQUEST'!X34)</f>
        <v>0</v>
      </c>
      <c r="J17" s="160">
        <f t="shared" si="0"/>
        <v>0</v>
      </c>
      <c r="K17" s="161">
        <f>I17*'Simulation Summary'!$C$17+H17*'Simulation Summary'!$C$18*10</f>
        <v>0</v>
      </c>
      <c r="L17" s="162">
        <f aca="true" t="shared" si="5" ref="L17:L31">IF(K17&gt;0,J17/K17,0)</f>
        <v>0</v>
      </c>
      <c r="M17" s="166">
        <f aca="true" t="shared" si="6" ref="M17:M31">IF(K17&gt;0,-PV($C$5,G17,K17)/J17,0)</f>
        <v>0</v>
      </c>
      <c r="N17" s="164">
        <f t="shared" si="3"/>
        <v>0</v>
      </c>
      <c r="O17" s="165">
        <f t="shared" si="4"/>
        <v>0</v>
      </c>
      <c r="P17" s="194"/>
    </row>
    <row r="18" spans="1:16" s="178" customFormat="1" ht="26.25" customHeight="1">
      <c r="A18" s="156">
        <v>8</v>
      </c>
      <c r="B18" s="157">
        <f>'Results from eQUEST'!J35</f>
        <v>0</v>
      </c>
      <c r="C18" s="797"/>
      <c r="D18" s="798"/>
      <c r="E18" s="797"/>
      <c r="F18" s="798"/>
      <c r="G18" s="799"/>
      <c r="H18" s="158">
        <f>IF(B18=0,0,('Results from eQUEST'!BJ34-'Results from eQUEST'!BJ35)/10)</f>
        <v>0</v>
      </c>
      <c r="I18" s="159">
        <f>IF(B18=0,0,'Results from eQUEST'!X34-'Results from eQUEST'!X35)</f>
        <v>0</v>
      </c>
      <c r="J18" s="160">
        <f t="shared" si="0"/>
        <v>0</v>
      </c>
      <c r="K18" s="161">
        <f>I18*'Simulation Summary'!$C$17+H18*'Simulation Summary'!$C$18*10</f>
        <v>0</v>
      </c>
      <c r="L18" s="162">
        <f t="shared" si="5"/>
        <v>0</v>
      </c>
      <c r="M18" s="166">
        <f t="shared" si="6"/>
        <v>0</v>
      </c>
      <c r="N18" s="164">
        <f t="shared" si="3"/>
        <v>0</v>
      </c>
      <c r="O18" s="165">
        <f t="shared" si="4"/>
        <v>0</v>
      </c>
      <c r="P18" s="194"/>
    </row>
    <row r="19" spans="1:16" s="178" customFormat="1" ht="26.25" customHeight="1">
      <c r="A19" s="156">
        <v>9</v>
      </c>
      <c r="B19" s="157">
        <f>'Results from eQUEST'!J36</f>
        <v>0</v>
      </c>
      <c r="C19" s="797"/>
      <c r="D19" s="798"/>
      <c r="E19" s="797"/>
      <c r="F19" s="798"/>
      <c r="G19" s="799"/>
      <c r="H19" s="158">
        <f>IF(B19=0,0,('Results from eQUEST'!BJ35-'Results from eQUEST'!BJ36)/10)</f>
        <v>0</v>
      </c>
      <c r="I19" s="159">
        <f>IF(B19=0,0,'Results from eQUEST'!X35-'Results from eQUEST'!X36)</f>
        <v>0</v>
      </c>
      <c r="J19" s="160">
        <f t="shared" si="0"/>
        <v>0</v>
      </c>
      <c r="K19" s="161">
        <f>I19*'Simulation Summary'!$C$17+H19*'Simulation Summary'!$C$18*10</f>
        <v>0</v>
      </c>
      <c r="L19" s="162">
        <f t="shared" si="5"/>
        <v>0</v>
      </c>
      <c r="M19" s="166">
        <f t="shared" si="6"/>
        <v>0</v>
      </c>
      <c r="N19" s="164">
        <f t="shared" si="3"/>
        <v>0</v>
      </c>
      <c r="O19" s="165">
        <f t="shared" si="4"/>
        <v>0</v>
      </c>
      <c r="P19" s="194"/>
    </row>
    <row r="20" spans="1:16" s="178" customFormat="1" ht="26.25" customHeight="1">
      <c r="A20" s="156">
        <v>10</v>
      </c>
      <c r="B20" s="157">
        <f>'Results from eQUEST'!J37</f>
        <v>0</v>
      </c>
      <c r="C20" s="797"/>
      <c r="D20" s="798"/>
      <c r="E20" s="797"/>
      <c r="F20" s="798"/>
      <c r="G20" s="799"/>
      <c r="H20" s="158">
        <f>IF(B20=0,0,('Results from eQUEST'!BJ36-'Results from eQUEST'!BJ37)/10)</f>
        <v>0</v>
      </c>
      <c r="I20" s="159">
        <f>IF(B20=0,0,'Results from eQUEST'!X36-'Results from eQUEST'!X37)</f>
        <v>0</v>
      </c>
      <c r="J20" s="160">
        <f t="shared" si="0"/>
        <v>0</v>
      </c>
      <c r="K20" s="161">
        <f>I20*'Simulation Summary'!$C$17+H20*'Simulation Summary'!$C$18*10</f>
        <v>0</v>
      </c>
      <c r="L20" s="162">
        <f t="shared" si="5"/>
        <v>0</v>
      </c>
      <c r="M20" s="167">
        <f t="shared" si="6"/>
        <v>0</v>
      </c>
      <c r="N20" s="164">
        <f t="shared" si="3"/>
        <v>0</v>
      </c>
      <c r="O20" s="165">
        <f t="shared" si="4"/>
        <v>0</v>
      </c>
      <c r="P20" s="194"/>
    </row>
    <row r="21" spans="1:16" s="178" customFormat="1" ht="26.25" customHeight="1">
      <c r="A21" s="156">
        <v>11</v>
      </c>
      <c r="B21" s="157">
        <f>'Results from eQUEST'!J38</f>
        <v>0</v>
      </c>
      <c r="C21" s="797"/>
      <c r="D21" s="798"/>
      <c r="E21" s="797"/>
      <c r="F21" s="798"/>
      <c r="G21" s="799"/>
      <c r="H21" s="158">
        <f>IF(B21=0,0,('Results from eQUEST'!BJ37-'Results from eQUEST'!BJ38)/10)</f>
        <v>0</v>
      </c>
      <c r="I21" s="159">
        <f>IF(B21=0,0,'Results from eQUEST'!X37-'Results from eQUEST'!X38)</f>
        <v>0</v>
      </c>
      <c r="J21" s="160">
        <f t="shared" si="0"/>
        <v>0</v>
      </c>
      <c r="K21" s="161">
        <f>I21*'Simulation Summary'!$C$17+H21*'Simulation Summary'!$C$18*10</f>
        <v>0</v>
      </c>
      <c r="L21" s="162">
        <f t="shared" si="5"/>
        <v>0</v>
      </c>
      <c r="M21" s="166">
        <f t="shared" si="6"/>
        <v>0</v>
      </c>
      <c r="N21" s="164">
        <f t="shared" si="3"/>
        <v>0</v>
      </c>
      <c r="O21" s="165">
        <f t="shared" si="4"/>
        <v>0</v>
      </c>
      <c r="P21" s="194"/>
    </row>
    <row r="22" spans="1:16" s="178" customFormat="1" ht="26.25" customHeight="1">
      <c r="A22" s="156">
        <v>12</v>
      </c>
      <c r="B22" s="157">
        <f>'Results from eQUEST'!J39</f>
        <v>0</v>
      </c>
      <c r="C22" s="800"/>
      <c r="D22" s="801"/>
      <c r="E22" s="800"/>
      <c r="F22" s="801"/>
      <c r="G22" s="802"/>
      <c r="H22" s="158">
        <f>IF(B22=0,0,('Results from eQUEST'!BJ38-'Results from eQUEST'!BJ39)/10)</f>
        <v>0</v>
      </c>
      <c r="I22" s="159">
        <f>IF(B22=0,0,'Results from eQUEST'!X38-'Results from eQUEST'!X39)</f>
        <v>0</v>
      </c>
      <c r="J22" s="160">
        <f t="shared" si="0"/>
        <v>0</v>
      </c>
      <c r="K22" s="161">
        <f>I22*'Simulation Summary'!$C$17+H22*'Simulation Summary'!$C$18*10</f>
        <v>0</v>
      </c>
      <c r="L22" s="162">
        <f t="shared" si="5"/>
        <v>0</v>
      </c>
      <c r="M22" s="166">
        <f t="shared" si="6"/>
        <v>0</v>
      </c>
      <c r="N22" s="164">
        <f t="shared" si="3"/>
        <v>0</v>
      </c>
      <c r="O22" s="165">
        <f t="shared" si="4"/>
        <v>0</v>
      </c>
      <c r="P22" s="194"/>
    </row>
    <row r="23" spans="1:16" s="178" customFormat="1" ht="26.25" customHeight="1">
      <c r="A23" s="156">
        <v>13</v>
      </c>
      <c r="B23" s="157">
        <f>'Results from eQUEST'!J40</f>
        <v>0</v>
      </c>
      <c r="C23" s="803"/>
      <c r="D23" s="804"/>
      <c r="E23" s="803"/>
      <c r="F23" s="804"/>
      <c r="G23" s="805"/>
      <c r="H23" s="158">
        <f>IF(B23=0,0,('Results from eQUEST'!BJ39-'Results from eQUEST'!BJ40)/10)</f>
        <v>0</v>
      </c>
      <c r="I23" s="159">
        <f>IF(B23=0,0,'Results from eQUEST'!X39-'Results from eQUEST'!X40)</f>
        <v>0</v>
      </c>
      <c r="J23" s="168">
        <f t="shared" si="0"/>
        <v>0</v>
      </c>
      <c r="K23" s="161">
        <f>I23*'Simulation Summary'!$C$17+H23*'Simulation Summary'!$C$18*10</f>
        <v>0</v>
      </c>
      <c r="L23" s="162">
        <f t="shared" si="5"/>
        <v>0</v>
      </c>
      <c r="M23" s="166">
        <f t="shared" si="6"/>
        <v>0</v>
      </c>
      <c r="N23" s="164">
        <f t="shared" si="3"/>
        <v>0</v>
      </c>
      <c r="O23" s="165">
        <f t="shared" si="4"/>
        <v>0</v>
      </c>
      <c r="P23" s="194"/>
    </row>
    <row r="24" spans="1:16" s="178" customFormat="1" ht="26.25" customHeight="1">
      <c r="A24" s="156">
        <v>14</v>
      </c>
      <c r="B24" s="157">
        <f>'Results from eQUEST'!J41</f>
        <v>0</v>
      </c>
      <c r="C24" s="803"/>
      <c r="D24" s="804"/>
      <c r="E24" s="803"/>
      <c r="F24" s="804"/>
      <c r="G24" s="805"/>
      <c r="H24" s="158">
        <f>IF(B24=0,0,('Results from eQUEST'!BJ40-'Results from eQUEST'!BJ41)/10)</f>
        <v>0</v>
      </c>
      <c r="I24" s="159">
        <f>IF(B24=0,0,'Results from eQUEST'!X40-'Results from eQUEST'!X41)</f>
        <v>0</v>
      </c>
      <c r="J24" s="168">
        <f aca="true" t="shared" si="7" ref="J24:J31">F24-D24</f>
        <v>0</v>
      </c>
      <c r="K24" s="161">
        <f>I24*'Simulation Summary'!$C$17+H24*'Simulation Summary'!$C$18*10</f>
        <v>0</v>
      </c>
      <c r="L24" s="162">
        <f t="shared" si="5"/>
        <v>0</v>
      </c>
      <c r="M24" s="166">
        <f t="shared" si="6"/>
        <v>0</v>
      </c>
      <c r="N24" s="164">
        <f aca="true" t="shared" si="8" ref="N24:N31">(M24-1)*J24</f>
        <v>0</v>
      </c>
      <c r="O24" s="165">
        <f aca="true" t="shared" si="9" ref="O24:O31">G24*K24</f>
        <v>0</v>
      </c>
      <c r="P24" s="194"/>
    </row>
    <row r="25" spans="1:16" s="178" customFormat="1" ht="26.25" customHeight="1">
      <c r="A25" s="156">
        <v>15</v>
      </c>
      <c r="B25" s="157">
        <f>'Results from eQUEST'!J42</f>
        <v>0</v>
      </c>
      <c r="C25" s="803"/>
      <c r="D25" s="804"/>
      <c r="E25" s="803"/>
      <c r="F25" s="804"/>
      <c r="G25" s="805"/>
      <c r="H25" s="158">
        <f>IF(B25=0,0,('Results from eQUEST'!BJ41-'Results from eQUEST'!BJ42)/10)</f>
        <v>0</v>
      </c>
      <c r="I25" s="159">
        <f>IF(B25=0,0,'Results from eQUEST'!X41-'Results from eQUEST'!X42)</f>
        <v>0</v>
      </c>
      <c r="J25" s="168">
        <f t="shared" si="7"/>
        <v>0</v>
      </c>
      <c r="K25" s="161">
        <f>I25*'Simulation Summary'!$C$17+H25*'Simulation Summary'!$C$18*10</f>
        <v>0</v>
      </c>
      <c r="L25" s="162">
        <f t="shared" si="5"/>
        <v>0</v>
      </c>
      <c r="M25" s="166">
        <f t="shared" si="6"/>
        <v>0</v>
      </c>
      <c r="N25" s="164">
        <f t="shared" si="8"/>
        <v>0</v>
      </c>
      <c r="O25" s="165">
        <f t="shared" si="9"/>
        <v>0</v>
      </c>
      <c r="P25" s="194"/>
    </row>
    <row r="26" spans="1:16" s="178" customFormat="1" ht="26.25" customHeight="1">
      <c r="A26" s="156">
        <v>16</v>
      </c>
      <c r="B26" s="157">
        <f>'Results from eQUEST'!J43</f>
        <v>0</v>
      </c>
      <c r="C26" s="803"/>
      <c r="D26" s="804"/>
      <c r="E26" s="803"/>
      <c r="F26" s="804"/>
      <c r="G26" s="805"/>
      <c r="H26" s="158">
        <f>IF(B26=0,0,('Results from eQUEST'!BJ42-'Results from eQUEST'!BJ43)/10)</f>
        <v>0</v>
      </c>
      <c r="I26" s="159">
        <f>IF(B26=0,0,'Results from eQUEST'!X42-'Results from eQUEST'!X43)</f>
        <v>0</v>
      </c>
      <c r="J26" s="168">
        <f t="shared" si="7"/>
        <v>0</v>
      </c>
      <c r="K26" s="161">
        <f>I26*'Simulation Summary'!$C$17+H26*'Simulation Summary'!$C$18*10</f>
        <v>0</v>
      </c>
      <c r="L26" s="162">
        <f t="shared" si="5"/>
        <v>0</v>
      </c>
      <c r="M26" s="166">
        <f t="shared" si="6"/>
        <v>0</v>
      </c>
      <c r="N26" s="164">
        <f t="shared" si="8"/>
        <v>0</v>
      </c>
      <c r="O26" s="165">
        <f t="shared" si="9"/>
        <v>0</v>
      </c>
      <c r="P26" s="194"/>
    </row>
    <row r="27" spans="1:16" s="178" customFormat="1" ht="26.25" customHeight="1">
      <c r="A27" s="156">
        <v>17</v>
      </c>
      <c r="B27" s="157">
        <f>'Results from eQUEST'!J44</f>
        <v>0</v>
      </c>
      <c r="C27" s="803"/>
      <c r="D27" s="804"/>
      <c r="E27" s="803"/>
      <c r="F27" s="804"/>
      <c r="G27" s="805"/>
      <c r="H27" s="158">
        <f>IF(B27=0,0,('Results from eQUEST'!BJ43-'Results from eQUEST'!BJ44)/10)</f>
        <v>0</v>
      </c>
      <c r="I27" s="159">
        <f>IF(B27=0,0,'Results from eQUEST'!X43-'Results from eQUEST'!X44)</f>
        <v>0</v>
      </c>
      <c r="J27" s="168">
        <f t="shared" si="7"/>
        <v>0</v>
      </c>
      <c r="K27" s="161">
        <f>I27*'Simulation Summary'!$C$17+H27*'Simulation Summary'!$C$18*10</f>
        <v>0</v>
      </c>
      <c r="L27" s="162">
        <f t="shared" si="5"/>
        <v>0</v>
      </c>
      <c r="M27" s="167">
        <f t="shared" si="6"/>
        <v>0</v>
      </c>
      <c r="N27" s="164">
        <f t="shared" si="8"/>
        <v>0</v>
      </c>
      <c r="O27" s="165">
        <f t="shared" si="9"/>
        <v>0</v>
      </c>
      <c r="P27" s="194"/>
    </row>
    <row r="28" spans="1:16" s="178" customFormat="1" ht="26.25" customHeight="1">
      <c r="A28" s="156">
        <v>18</v>
      </c>
      <c r="B28" s="157">
        <f>'Results from eQUEST'!J45</f>
        <v>0</v>
      </c>
      <c r="C28" s="803"/>
      <c r="D28" s="804"/>
      <c r="E28" s="803"/>
      <c r="F28" s="804"/>
      <c r="G28" s="805"/>
      <c r="H28" s="158">
        <f>IF(B28=0,0,('Results from eQUEST'!BJ44-'Results from eQUEST'!BJ45)/10)</f>
        <v>0</v>
      </c>
      <c r="I28" s="159">
        <f>IF(B28=0,0,'Results from eQUEST'!X44-'Results from eQUEST'!X45)</f>
        <v>0</v>
      </c>
      <c r="J28" s="168">
        <f t="shared" si="7"/>
        <v>0</v>
      </c>
      <c r="K28" s="161">
        <f>I28*'Simulation Summary'!$C$17+H28*'Simulation Summary'!$C$18*10</f>
        <v>0</v>
      </c>
      <c r="L28" s="162">
        <f t="shared" si="5"/>
        <v>0</v>
      </c>
      <c r="M28" s="166">
        <f t="shared" si="6"/>
        <v>0</v>
      </c>
      <c r="N28" s="164">
        <f t="shared" si="8"/>
        <v>0</v>
      </c>
      <c r="O28" s="165">
        <f t="shared" si="9"/>
        <v>0</v>
      </c>
      <c r="P28" s="194"/>
    </row>
    <row r="29" spans="1:16" s="178" customFormat="1" ht="26.25" customHeight="1">
      <c r="A29" s="156">
        <v>19</v>
      </c>
      <c r="B29" s="157">
        <f>'Results from eQUEST'!J46</f>
        <v>0</v>
      </c>
      <c r="C29" s="803"/>
      <c r="D29" s="804"/>
      <c r="E29" s="803"/>
      <c r="F29" s="804"/>
      <c r="G29" s="805"/>
      <c r="H29" s="158">
        <f>IF(B29=0,0,('Results from eQUEST'!BJ45-'Results from eQUEST'!BJ46)/10)</f>
        <v>0</v>
      </c>
      <c r="I29" s="159">
        <f>IF(B29=0,0,'Results from eQUEST'!X45-'Results from eQUEST'!X46)</f>
        <v>0</v>
      </c>
      <c r="J29" s="168">
        <f t="shared" si="7"/>
        <v>0</v>
      </c>
      <c r="K29" s="161">
        <f>I29*'Simulation Summary'!$C$17+H29*'Simulation Summary'!$C$18*10</f>
        <v>0</v>
      </c>
      <c r="L29" s="162">
        <f t="shared" si="5"/>
        <v>0</v>
      </c>
      <c r="M29" s="166">
        <f t="shared" si="6"/>
        <v>0</v>
      </c>
      <c r="N29" s="164">
        <f t="shared" si="8"/>
        <v>0</v>
      </c>
      <c r="O29" s="165">
        <f t="shared" si="9"/>
        <v>0</v>
      </c>
      <c r="P29" s="194"/>
    </row>
    <row r="30" spans="1:16" s="178" customFormat="1" ht="26.25" customHeight="1">
      <c r="A30" s="156">
        <v>20</v>
      </c>
      <c r="B30" s="157">
        <f>'Results from eQUEST'!J47</f>
        <v>0</v>
      </c>
      <c r="C30" s="803"/>
      <c r="D30" s="804"/>
      <c r="E30" s="803"/>
      <c r="F30" s="804"/>
      <c r="G30" s="805"/>
      <c r="H30" s="158">
        <f>IF(B30=0,0,('Results from eQUEST'!BJ46-'Results from eQUEST'!BJ47)/10)</f>
        <v>0</v>
      </c>
      <c r="I30" s="159">
        <f>IF(B30=0,0,'Results from eQUEST'!X46-'Results from eQUEST'!X47)</f>
        <v>0</v>
      </c>
      <c r="J30" s="168">
        <f t="shared" si="7"/>
        <v>0</v>
      </c>
      <c r="K30" s="161">
        <f>I30*'Simulation Summary'!$C$17+H30*'Simulation Summary'!$C$18*10</f>
        <v>0</v>
      </c>
      <c r="L30" s="162">
        <f t="shared" si="5"/>
        <v>0</v>
      </c>
      <c r="M30" s="167">
        <f t="shared" si="6"/>
        <v>0</v>
      </c>
      <c r="N30" s="164">
        <f t="shared" si="8"/>
        <v>0</v>
      </c>
      <c r="O30" s="165">
        <f t="shared" si="9"/>
        <v>0</v>
      </c>
      <c r="P30" s="194"/>
    </row>
    <row r="31" spans="1:16" s="178" customFormat="1" ht="26.25" customHeight="1" thickBot="1">
      <c r="A31" s="156">
        <v>21</v>
      </c>
      <c r="B31" s="169">
        <f>'Results from eQUEST'!J48</f>
        <v>0</v>
      </c>
      <c r="C31" s="806"/>
      <c r="D31" s="807"/>
      <c r="E31" s="806"/>
      <c r="F31" s="807"/>
      <c r="G31" s="808"/>
      <c r="H31" s="170">
        <f>IF(B31=0,0,('Results from eQUEST'!BJ47-'Results from eQUEST'!BJ48)/10)</f>
        <v>0</v>
      </c>
      <c r="I31" s="171">
        <f>IF(B31=0,0,'Results from eQUEST'!X47-'Results from eQUEST'!X48)</f>
        <v>0</v>
      </c>
      <c r="J31" s="172">
        <f t="shared" si="7"/>
        <v>0</v>
      </c>
      <c r="K31" s="161">
        <f>I31*'Simulation Summary'!$C$17+H31*'Simulation Summary'!$C$18*10</f>
        <v>0</v>
      </c>
      <c r="L31" s="162">
        <f t="shared" si="5"/>
        <v>0</v>
      </c>
      <c r="M31" s="173">
        <f t="shared" si="6"/>
        <v>0</v>
      </c>
      <c r="N31" s="164">
        <f t="shared" si="8"/>
        <v>0</v>
      </c>
      <c r="O31" s="165">
        <f t="shared" si="9"/>
        <v>0</v>
      </c>
      <c r="P31" s="194"/>
    </row>
    <row r="32" spans="1:16" s="178" customFormat="1" ht="15" customHeight="1" thickBot="1" thickTop="1">
      <c r="A32" s="174"/>
      <c r="B32" s="175"/>
      <c r="C32" s="175"/>
      <c r="D32" s="175"/>
      <c r="E32" s="175"/>
      <c r="F32" s="175"/>
      <c r="G32" s="175"/>
      <c r="H32" s="175"/>
      <c r="I32" s="175"/>
      <c r="J32" s="175"/>
      <c r="K32" s="176"/>
      <c r="L32" s="176"/>
      <c r="M32" s="176"/>
      <c r="N32" s="176"/>
      <c r="O32" s="177"/>
      <c r="P32" s="194"/>
    </row>
    <row r="33" spans="1:16" ht="14.25" thickBot="1" thickTop="1">
      <c r="A33" s="178"/>
      <c r="C33" s="179"/>
      <c r="D33" s="179"/>
      <c r="E33" s="179"/>
      <c r="F33" s="179"/>
      <c r="H33" s="180">
        <f>SUM(H11:H32)</f>
        <v>0</v>
      </c>
      <c r="I33" s="180">
        <f>SUM(I11:I32)</f>
        <v>0</v>
      </c>
      <c r="J33" s="181"/>
      <c r="K33" s="182">
        <f>SUM(K11:K32)</f>
        <v>0</v>
      </c>
      <c r="L33" s="183"/>
      <c r="M33" s="184"/>
      <c r="N33" s="185">
        <f>SUM(N11:N32)</f>
        <v>0</v>
      </c>
      <c r="O33" s="186" t="e">
        <f>SUM(O11:O32)/K33</f>
        <v>#DIV/0!</v>
      </c>
      <c r="P33" s="194"/>
    </row>
    <row r="34" spans="1:16" s="194" customFormat="1" ht="13.5" thickBot="1">
      <c r="A34" s="179"/>
      <c r="B34" s="179"/>
      <c r="C34" s="179"/>
      <c r="D34" s="179"/>
      <c r="E34" s="179"/>
      <c r="F34" s="179"/>
      <c r="G34" s="179"/>
      <c r="H34" s="179"/>
      <c r="I34" s="179"/>
      <c r="J34" s="187">
        <f>SUM(J11:J32)</f>
        <v>0</v>
      </c>
      <c r="K34" s="188"/>
      <c r="L34" s="189" t="e">
        <f>J34/K33</f>
        <v>#DIV/0!</v>
      </c>
      <c r="M34" s="190" t="e">
        <f>N34/J34+1</f>
        <v>#DIV/0!</v>
      </c>
      <c r="N34" s="191">
        <f>N33</f>
        <v>0</v>
      </c>
      <c r="O34" s="179"/>
      <c r="P34" s="179"/>
    </row>
    <row r="35" spans="1:16" s="194" customFormat="1" ht="12.75">
      <c r="A35" s="179"/>
      <c r="B35" s="179"/>
      <c r="C35" s="179"/>
      <c r="D35" s="179"/>
      <c r="E35" s="179"/>
      <c r="F35" s="179"/>
      <c r="G35" s="179"/>
      <c r="H35" s="179"/>
      <c r="I35" s="179"/>
      <c r="J35" s="192"/>
      <c r="K35" s="193"/>
      <c r="L35" s="193"/>
      <c r="O35" s="179"/>
      <c r="P35" s="179"/>
    </row>
    <row r="36" spans="1:16" s="194" customFormat="1" ht="12.75">
      <c r="A36" s="179"/>
      <c r="B36" s="179"/>
      <c r="C36" s="179"/>
      <c r="D36" s="179"/>
      <c r="E36" s="179"/>
      <c r="F36" s="179"/>
      <c r="G36" s="179"/>
      <c r="H36" s="179"/>
      <c r="I36" s="179"/>
      <c r="J36" s="192"/>
      <c r="K36" s="193"/>
      <c r="L36" s="193"/>
      <c r="M36" s="193"/>
      <c r="N36" s="179"/>
      <c r="O36" s="179"/>
      <c r="P36" s="179"/>
    </row>
    <row r="37" spans="10:13" s="195" customFormat="1" ht="12.75">
      <c r="J37" s="192"/>
      <c r="K37" s="196"/>
      <c r="L37" s="196"/>
      <c r="M37" s="196"/>
    </row>
    <row r="38" spans="1:16" s="195" customFormat="1" ht="20.25">
      <c r="A38" s="197"/>
      <c r="B38" s="197"/>
      <c r="C38" s="197"/>
      <c r="D38" s="197"/>
      <c r="E38" s="197"/>
      <c r="F38" s="197"/>
      <c r="G38" s="197"/>
      <c r="H38" s="197"/>
      <c r="I38" s="197"/>
      <c r="J38" s="197"/>
      <c r="K38" s="197"/>
      <c r="L38" s="197"/>
      <c r="M38" s="197"/>
      <c r="N38" s="197"/>
      <c r="O38" s="197"/>
      <c r="P38" s="197"/>
    </row>
    <row r="39" spans="1:15" s="195" customFormat="1" ht="12.75" customHeight="1">
      <c r="A39" s="198"/>
      <c r="B39" s="198"/>
      <c r="C39" s="199"/>
      <c r="D39" s="199"/>
      <c r="E39" s="199"/>
      <c r="F39" s="199"/>
      <c r="G39" s="199"/>
      <c r="H39" s="199"/>
      <c r="I39" s="199"/>
      <c r="K39" s="199"/>
      <c r="L39" s="199"/>
      <c r="M39" s="199"/>
      <c r="N39" s="200"/>
      <c r="O39" s="200"/>
    </row>
    <row r="40" spans="1:15" s="195" customFormat="1" ht="12.75">
      <c r="A40" s="201"/>
      <c r="B40" s="201"/>
      <c r="C40" s="202"/>
      <c r="D40" s="201"/>
      <c r="E40" s="202"/>
      <c r="F40" s="201"/>
      <c r="G40" s="203"/>
      <c r="H40" s="200"/>
      <c r="I40" s="200"/>
      <c r="J40" s="201"/>
      <c r="K40" s="204"/>
      <c r="L40" s="205"/>
      <c r="M40" s="205"/>
      <c r="N40" s="200"/>
      <c r="O40" s="200"/>
    </row>
    <row r="41" spans="1:15" s="195" customFormat="1" ht="12.75">
      <c r="A41" s="202"/>
      <c r="B41" s="202"/>
      <c r="C41" s="202"/>
      <c r="D41" s="201"/>
      <c r="E41" s="202"/>
      <c r="F41" s="201"/>
      <c r="G41" s="206"/>
      <c r="H41" s="201"/>
      <c r="I41" s="201"/>
      <c r="J41" s="200"/>
      <c r="K41" s="206"/>
      <c r="L41" s="206"/>
      <c r="M41" s="207"/>
      <c r="N41" s="200"/>
      <c r="O41" s="200"/>
    </row>
    <row r="42" spans="1:16" s="216" customFormat="1" ht="26.25" customHeight="1">
      <c r="A42" s="208"/>
      <c r="B42" s="208"/>
      <c r="C42" s="208"/>
      <c r="D42" s="209"/>
      <c r="E42" s="208"/>
      <c r="F42" s="209"/>
      <c r="G42" s="210"/>
      <c r="H42" s="211"/>
      <c r="I42" s="211"/>
      <c r="J42" s="209"/>
      <c r="K42" s="209"/>
      <c r="L42" s="212"/>
      <c r="M42" s="213"/>
      <c r="N42" s="209"/>
      <c r="O42" s="209"/>
      <c r="P42" s="195"/>
    </row>
    <row r="43" spans="1:16" s="216" customFormat="1" ht="26.25" customHeight="1">
      <c r="A43" s="208"/>
      <c r="B43" s="208"/>
      <c r="C43" s="208"/>
      <c r="D43" s="209"/>
      <c r="E43" s="208"/>
      <c r="F43" s="209"/>
      <c r="G43" s="210"/>
      <c r="H43" s="211"/>
      <c r="I43" s="211"/>
      <c r="J43" s="209"/>
      <c r="K43" s="209"/>
      <c r="L43" s="212"/>
      <c r="M43" s="213"/>
      <c r="N43" s="209"/>
      <c r="O43" s="209"/>
      <c r="P43" s="195"/>
    </row>
    <row r="44" spans="1:16" s="216" customFormat="1" ht="26.25" customHeight="1">
      <c r="A44" s="208"/>
      <c r="B44" s="208"/>
      <c r="C44" s="208"/>
      <c r="D44" s="209"/>
      <c r="E44" s="208"/>
      <c r="F44" s="209"/>
      <c r="G44" s="210"/>
      <c r="H44" s="211"/>
      <c r="I44" s="211"/>
      <c r="J44" s="209"/>
      <c r="K44" s="209"/>
      <c r="L44" s="212"/>
      <c r="M44" s="213"/>
      <c r="N44" s="209"/>
      <c r="O44" s="209"/>
      <c r="P44" s="195"/>
    </row>
    <row r="45" spans="1:16" s="216" customFormat="1" ht="26.25" customHeight="1">
      <c r="A45" s="208"/>
      <c r="B45" s="208"/>
      <c r="C45" s="208"/>
      <c r="D45" s="209"/>
      <c r="E45" s="208"/>
      <c r="F45" s="209"/>
      <c r="G45" s="210"/>
      <c r="H45" s="211"/>
      <c r="I45" s="211"/>
      <c r="J45" s="209"/>
      <c r="K45" s="209"/>
      <c r="L45" s="212"/>
      <c r="M45" s="213"/>
      <c r="N45" s="209"/>
      <c r="O45" s="209"/>
      <c r="P45" s="195"/>
    </row>
    <row r="46" spans="1:16" s="216" customFormat="1" ht="26.25" customHeight="1">
      <c r="A46" s="208"/>
      <c r="B46" s="208"/>
      <c r="C46" s="208"/>
      <c r="D46" s="209"/>
      <c r="E46" s="208"/>
      <c r="F46" s="209"/>
      <c r="G46" s="210"/>
      <c r="H46" s="211"/>
      <c r="I46" s="211"/>
      <c r="J46" s="209"/>
      <c r="K46" s="209"/>
      <c r="L46" s="212"/>
      <c r="M46" s="213"/>
      <c r="N46" s="209"/>
      <c r="O46" s="209"/>
      <c r="P46" s="195"/>
    </row>
    <row r="47" spans="1:16" s="216" customFormat="1" ht="26.25" customHeight="1">
      <c r="A47" s="208"/>
      <c r="B47" s="208"/>
      <c r="C47" s="208"/>
      <c r="D47" s="209"/>
      <c r="E47" s="208"/>
      <c r="F47" s="209"/>
      <c r="G47" s="210"/>
      <c r="H47" s="211"/>
      <c r="I47" s="211"/>
      <c r="J47" s="209"/>
      <c r="K47" s="209"/>
      <c r="L47" s="212"/>
      <c r="M47" s="213"/>
      <c r="N47" s="209"/>
      <c r="O47" s="209"/>
      <c r="P47" s="195"/>
    </row>
    <row r="48" spans="1:16" s="216" customFormat="1" ht="26.25" customHeight="1">
      <c r="A48" s="208"/>
      <c r="B48" s="208"/>
      <c r="C48" s="208"/>
      <c r="D48" s="209"/>
      <c r="E48" s="208"/>
      <c r="F48" s="209"/>
      <c r="G48" s="210"/>
      <c r="H48" s="211"/>
      <c r="I48" s="211"/>
      <c r="J48" s="209"/>
      <c r="K48" s="209"/>
      <c r="L48" s="212"/>
      <c r="M48" s="213"/>
      <c r="N48" s="209"/>
      <c r="O48" s="209"/>
      <c r="P48" s="195"/>
    </row>
    <row r="49" spans="1:16" s="216" customFormat="1" ht="26.25" customHeight="1">
      <c r="A49" s="208"/>
      <c r="B49" s="208"/>
      <c r="C49" s="208"/>
      <c r="D49" s="209"/>
      <c r="E49" s="208"/>
      <c r="F49" s="209"/>
      <c r="G49" s="210"/>
      <c r="H49" s="211"/>
      <c r="I49" s="211"/>
      <c r="J49" s="209"/>
      <c r="K49" s="209"/>
      <c r="L49" s="212"/>
      <c r="M49" s="213"/>
      <c r="N49" s="209"/>
      <c r="O49" s="209"/>
      <c r="P49" s="195"/>
    </row>
    <row r="50" spans="1:16" s="216" customFormat="1" ht="26.25" customHeight="1">
      <c r="A50" s="208"/>
      <c r="B50" s="208"/>
      <c r="C50" s="208"/>
      <c r="D50" s="209"/>
      <c r="E50" s="208"/>
      <c r="F50" s="209"/>
      <c r="G50" s="210"/>
      <c r="H50" s="211"/>
      <c r="I50" s="211"/>
      <c r="J50" s="209"/>
      <c r="K50" s="209"/>
      <c r="L50" s="212"/>
      <c r="M50" s="213"/>
      <c r="N50" s="209"/>
      <c r="O50" s="209"/>
      <c r="P50" s="195"/>
    </row>
    <row r="51" spans="1:16" s="216" customFormat="1" ht="26.25" customHeight="1">
      <c r="A51" s="208"/>
      <c r="B51" s="208"/>
      <c r="C51" s="208"/>
      <c r="D51" s="209"/>
      <c r="E51" s="208"/>
      <c r="F51" s="209"/>
      <c r="G51" s="210"/>
      <c r="H51" s="211"/>
      <c r="I51" s="211"/>
      <c r="J51" s="209"/>
      <c r="K51" s="209"/>
      <c r="L51" s="212"/>
      <c r="M51" s="213"/>
      <c r="N51" s="209"/>
      <c r="O51" s="209"/>
      <c r="P51" s="195"/>
    </row>
    <row r="52" spans="1:16" s="216" customFormat="1" ht="26.25" customHeight="1">
      <c r="A52" s="208"/>
      <c r="B52" s="208"/>
      <c r="C52" s="208"/>
      <c r="D52" s="209"/>
      <c r="E52" s="208"/>
      <c r="F52" s="209"/>
      <c r="G52" s="210"/>
      <c r="H52" s="211"/>
      <c r="I52" s="211"/>
      <c r="J52" s="209"/>
      <c r="K52" s="209"/>
      <c r="L52" s="212"/>
      <c r="M52" s="213"/>
      <c r="N52" s="209"/>
      <c r="O52" s="209"/>
      <c r="P52" s="195"/>
    </row>
    <row r="53" spans="1:16" s="216" customFormat="1" ht="26.25" customHeight="1">
      <c r="A53" s="208"/>
      <c r="B53" s="208"/>
      <c r="C53" s="208"/>
      <c r="D53" s="209"/>
      <c r="E53" s="208"/>
      <c r="F53" s="209"/>
      <c r="G53" s="210"/>
      <c r="H53" s="211"/>
      <c r="I53" s="211"/>
      <c r="J53" s="209"/>
      <c r="K53" s="209"/>
      <c r="L53" s="212"/>
      <c r="M53" s="213"/>
      <c r="N53" s="209"/>
      <c r="O53" s="209"/>
      <c r="P53" s="195"/>
    </row>
    <row r="54" spans="1:16" s="216" customFormat="1" ht="26.25" customHeight="1">
      <c r="A54" s="208"/>
      <c r="B54" s="208"/>
      <c r="C54" s="208"/>
      <c r="D54" s="209"/>
      <c r="E54" s="208"/>
      <c r="F54" s="209"/>
      <c r="G54" s="210"/>
      <c r="H54" s="211"/>
      <c r="I54" s="211"/>
      <c r="J54" s="209"/>
      <c r="K54" s="209"/>
      <c r="L54" s="212"/>
      <c r="M54" s="213"/>
      <c r="N54" s="209"/>
      <c r="O54" s="209"/>
      <c r="P54" s="195"/>
    </row>
    <row r="55" spans="1:16" s="216" customFormat="1" ht="26.25" customHeight="1">
      <c r="A55" s="208"/>
      <c r="B55" s="208"/>
      <c r="C55" s="208"/>
      <c r="D55" s="209"/>
      <c r="E55" s="208"/>
      <c r="F55" s="209"/>
      <c r="G55" s="210"/>
      <c r="H55" s="211"/>
      <c r="I55" s="211"/>
      <c r="J55" s="209"/>
      <c r="K55" s="209"/>
      <c r="L55" s="212"/>
      <c r="M55" s="213"/>
      <c r="N55" s="209"/>
      <c r="O55" s="209"/>
      <c r="P55" s="195"/>
    </row>
    <row r="56" spans="1:16" s="216" customFormat="1" ht="14.25" customHeight="1">
      <c r="A56" s="214"/>
      <c r="B56" s="214"/>
      <c r="C56" s="214"/>
      <c r="D56" s="214"/>
      <c r="E56" s="214"/>
      <c r="F56" s="214"/>
      <c r="G56" s="214"/>
      <c r="H56" s="214"/>
      <c r="I56" s="214"/>
      <c r="J56" s="214"/>
      <c r="K56" s="214"/>
      <c r="L56" s="214"/>
      <c r="M56" s="214"/>
      <c r="N56" s="209"/>
      <c r="O56" s="215"/>
      <c r="P56" s="195"/>
    </row>
    <row r="57" spans="3:16" s="216" customFormat="1" ht="12.75">
      <c r="C57" s="195"/>
      <c r="D57" s="195"/>
      <c r="E57" s="195"/>
      <c r="F57" s="195"/>
      <c r="H57" s="217"/>
      <c r="I57" s="217"/>
      <c r="J57" s="214"/>
      <c r="K57" s="218"/>
      <c r="L57" s="212"/>
      <c r="M57" s="213"/>
      <c r="N57" s="209"/>
      <c r="O57" s="215"/>
      <c r="P57" s="195"/>
    </row>
    <row r="58" spans="3:16" s="216" customFormat="1" ht="12.75">
      <c r="C58" s="195"/>
      <c r="D58" s="195"/>
      <c r="E58" s="195"/>
      <c r="F58" s="195"/>
      <c r="H58" s="217"/>
      <c r="I58" s="217"/>
      <c r="J58" s="218"/>
      <c r="K58" s="218"/>
      <c r="L58" s="212"/>
      <c r="M58" s="213"/>
      <c r="N58" s="219"/>
      <c r="O58" s="195"/>
      <c r="P58" s="195"/>
    </row>
    <row r="59" spans="3:16" s="216" customFormat="1" ht="12.75">
      <c r="C59" s="195"/>
      <c r="D59" s="195"/>
      <c r="E59" s="195"/>
      <c r="F59" s="195"/>
      <c r="H59" s="220"/>
      <c r="I59" s="220"/>
      <c r="J59" s="218"/>
      <c r="K59" s="220"/>
      <c r="L59" s="220"/>
      <c r="M59" s="220"/>
      <c r="N59" s="219"/>
      <c r="O59" s="195"/>
      <c r="P59" s="195"/>
    </row>
    <row r="60" spans="3:16" s="216" customFormat="1" ht="12.75">
      <c r="C60" s="195"/>
      <c r="D60" s="195"/>
      <c r="E60" s="195"/>
      <c r="F60" s="195"/>
      <c r="H60" s="220"/>
      <c r="I60" s="220"/>
      <c r="J60" s="218"/>
      <c r="K60" s="220"/>
      <c r="L60" s="220"/>
      <c r="M60" s="220"/>
      <c r="N60" s="219"/>
      <c r="O60" s="195"/>
      <c r="P60" s="195"/>
    </row>
    <row r="61" spans="3:16" s="216" customFormat="1" ht="12.75">
      <c r="C61" s="195"/>
      <c r="D61" s="195"/>
      <c r="E61" s="195"/>
      <c r="F61" s="195"/>
      <c r="I61" s="220"/>
      <c r="J61" s="218"/>
      <c r="K61" s="220"/>
      <c r="L61" s="220"/>
      <c r="M61" s="220"/>
      <c r="N61" s="221"/>
      <c r="O61" s="195"/>
      <c r="P61" s="195"/>
    </row>
    <row r="62" spans="1:16" s="216" customFormat="1" ht="12.75">
      <c r="A62" s="195"/>
      <c r="B62" s="195"/>
      <c r="C62" s="195"/>
      <c r="D62" s="195"/>
      <c r="E62" s="195"/>
      <c r="F62" s="195"/>
      <c r="H62" s="196"/>
      <c r="I62" s="196"/>
      <c r="J62" s="192"/>
      <c r="K62" s="196"/>
      <c r="L62" s="222"/>
      <c r="M62" s="222"/>
      <c r="N62" s="223"/>
      <c r="O62" s="195"/>
      <c r="P62" s="195"/>
    </row>
    <row r="63" spans="3:16" s="216" customFormat="1" ht="12.75" hidden="1">
      <c r="C63" s="195"/>
      <c r="D63" s="195"/>
      <c r="E63" s="195"/>
      <c r="F63" s="195"/>
      <c r="G63" s="195"/>
      <c r="H63" s="195"/>
      <c r="I63" s="195"/>
      <c r="J63" s="195"/>
      <c r="K63" s="195"/>
      <c r="L63" s="195"/>
      <c r="M63" s="195"/>
      <c r="N63" s="195"/>
      <c r="O63" s="195"/>
      <c r="P63" s="195"/>
    </row>
    <row r="64" spans="1:16" s="224" customFormat="1" ht="24.75" customHeight="1" hidden="1">
      <c r="A64" s="216"/>
      <c r="C64" s="208"/>
      <c r="D64" s="208"/>
      <c r="E64" s="208"/>
      <c r="F64" s="225"/>
      <c r="G64" s="225"/>
      <c r="H64" s="225"/>
      <c r="J64" s="225"/>
      <c r="K64" s="225"/>
      <c r="L64" s="208"/>
      <c r="M64" s="208"/>
      <c r="N64" s="208"/>
      <c r="O64" s="208"/>
      <c r="P64" s="208"/>
    </row>
    <row r="65" spans="3:16" s="224" customFormat="1" ht="24.75" customHeight="1" hidden="1">
      <c r="C65" s="208"/>
      <c r="D65" s="208"/>
      <c r="E65" s="208"/>
      <c r="F65" s="225"/>
      <c r="G65" s="225"/>
      <c r="H65" s="225"/>
      <c r="J65" s="225"/>
      <c r="K65" s="225"/>
      <c r="L65" s="208"/>
      <c r="M65" s="208"/>
      <c r="N65" s="208"/>
      <c r="O65" s="208"/>
      <c r="P65" s="208"/>
    </row>
    <row r="66" spans="3:16" s="224" customFormat="1" ht="12.75" hidden="1">
      <c r="C66" s="208"/>
      <c r="D66" s="208"/>
      <c r="E66" s="208"/>
      <c r="F66" s="208"/>
      <c r="G66" s="225"/>
      <c r="H66" s="225"/>
      <c r="J66" s="225"/>
      <c r="K66" s="225"/>
      <c r="L66" s="208"/>
      <c r="M66" s="208"/>
      <c r="N66" s="208"/>
      <c r="O66" s="208"/>
      <c r="P66" s="208"/>
    </row>
    <row r="67" spans="3:16" s="224" customFormat="1" ht="12.75" hidden="1">
      <c r="C67" s="195"/>
      <c r="D67" s="195"/>
      <c r="E67" s="208"/>
      <c r="F67" s="208"/>
      <c r="G67" s="225"/>
      <c r="H67" s="225"/>
      <c r="J67" s="225"/>
      <c r="K67" s="225"/>
      <c r="L67" s="208"/>
      <c r="M67" s="208"/>
      <c r="N67" s="208"/>
      <c r="O67" s="208"/>
      <c r="P67" s="208"/>
    </row>
    <row r="68" spans="3:16" s="224" customFormat="1" ht="12.75" hidden="1">
      <c r="C68" s="195"/>
      <c r="D68" s="216"/>
      <c r="E68" s="208"/>
      <c r="F68" s="208"/>
      <c r="G68" s="225"/>
      <c r="H68" s="225"/>
      <c r="J68" s="225"/>
      <c r="K68" s="225"/>
      <c r="L68" s="208"/>
      <c r="M68" s="208"/>
      <c r="N68" s="208"/>
      <c r="O68" s="208"/>
      <c r="P68" s="208"/>
    </row>
    <row r="69" spans="3:16" s="224" customFormat="1" ht="12.75" hidden="1">
      <c r="C69" s="216"/>
      <c r="D69" s="216"/>
      <c r="E69" s="208"/>
      <c r="F69" s="208"/>
      <c r="G69" s="225"/>
      <c r="H69" s="225"/>
      <c r="J69" s="225"/>
      <c r="K69" s="225"/>
      <c r="L69" s="208"/>
      <c r="M69" s="208"/>
      <c r="N69" s="208"/>
      <c r="O69" s="208"/>
      <c r="P69" s="208"/>
    </row>
    <row r="70" spans="3:16" s="224" customFormat="1" ht="12.75" hidden="1">
      <c r="C70" s="198"/>
      <c r="D70" s="216"/>
      <c r="E70" s="208"/>
      <c r="F70" s="208"/>
      <c r="G70" s="225"/>
      <c r="H70" s="225"/>
      <c r="J70" s="225"/>
      <c r="K70" s="225"/>
      <c r="L70" s="208"/>
      <c r="M70" s="208"/>
      <c r="N70" s="208"/>
      <c r="O70" s="208"/>
      <c r="P70" s="208"/>
    </row>
    <row r="71" spans="3:16" s="224" customFormat="1" ht="12.75" hidden="1">
      <c r="C71" s="216"/>
      <c r="D71" s="216"/>
      <c r="E71" s="208"/>
      <c r="F71" s="208"/>
      <c r="G71" s="225"/>
      <c r="H71" s="225"/>
      <c r="I71" s="225"/>
      <c r="J71" s="225"/>
      <c r="K71" s="225"/>
      <c r="L71" s="208"/>
      <c r="M71" s="208"/>
      <c r="N71" s="208"/>
      <c r="O71" s="208"/>
      <c r="P71" s="208"/>
    </row>
    <row r="72" spans="3:16" s="224" customFormat="1" ht="12.75" hidden="1">
      <c r="C72" s="216"/>
      <c r="D72" s="216"/>
      <c r="E72" s="208"/>
      <c r="F72" s="208"/>
      <c r="G72" s="225"/>
      <c r="H72" s="225"/>
      <c r="I72" s="225"/>
      <c r="J72" s="225"/>
      <c r="K72" s="225"/>
      <c r="L72" s="208"/>
      <c r="M72" s="208"/>
      <c r="N72" s="208"/>
      <c r="O72" s="208"/>
      <c r="P72" s="208"/>
    </row>
    <row r="73" spans="3:16" s="224" customFormat="1" ht="12.75" hidden="1">
      <c r="C73" s="216"/>
      <c r="D73" s="216"/>
      <c r="E73" s="208"/>
      <c r="F73" s="208"/>
      <c r="G73" s="225"/>
      <c r="H73" s="225"/>
      <c r="I73" s="225"/>
      <c r="J73" s="225"/>
      <c r="K73" s="225"/>
      <c r="L73" s="208"/>
      <c r="M73" s="208"/>
      <c r="N73" s="208"/>
      <c r="O73" s="208"/>
      <c r="P73" s="208"/>
    </row>
    <row r="74" spans="3:16" s="224" customFormat="1" ht="12.75" hidden="1">
      <c r="C74" s="216"/>
      <c r="D74" s="216"/>
      <c r="E74" s="208"/>
      <c r="F74" s="208"/>
      <c r="G74" s="225"/>
      <c r="H74" s="225"/>
      <c r="I74" s="225"/>
      <c r="J74" s="225"/>
      <c r="K74" s="225"/>
      <c r="L74" s="208"/>
      <c r="M74" s="208"/>
      <c r="N74" s="208"/>
      <c r="O74" s="208"/>
      <c r="P74" s="208"/>
    </row>
    <row r="75" spans="3:16" s="224" customFormat="1" ht="12.75" hidden="1">
      <c r="C75" s="216"/>
      <c r="D75" s="216"/>
      <c r="E75" s="208"/>
      <c r="F75" s="208"/>
      <c r="G75" s="225"/>
      <c r="H75" s="225"/>
      <c r="I75" s="225"/>
      <c r="J75" s="225"/>
      <c r="K75" s="225"/>
      <c r="L75" s="208"/>
      <c r="M75" s="208"/>
      <c r="N75" s="208"/>
      <c r="O75" s="208"/>
      <c r="P75" s="208"/>
    </row>
    <row r="76" spans="3:16" s="224" customFormat="1" ht="12.75" hidden="1">
      <c r="C76" s="216"/>
      <c r="D76" s="216"/>
      <c r="E76" s="208"/>
      <c r="F76" s="208"/>
      <c r="G76" s="225"/>
      <c r="H76" s="225"/>
      <c r="I76" s="225"/>
      <c r="J76" s="225"/>
      <c r="K76" s="225"/>
      <c r="L76" s="208"/>
      <c r="M76" s="208"/>
      <c r="N76" s="208"/>
      <c r="O76" s="208"/>
      <c r="P76" s="208"/>
    </row>
    <row r="77" spans="3:16" s="224" customFormat="1" ht="12.75" hidden="1">
      <c r="C77" s="216"/>
      <c r="D77" s="216"/>
      <c r="E77" s="208"/>
      <c r="F77" s="208"/>
      <c r="G77" s="225"/>
      <c r="H77" s="225"/>
      <c r="I77" s="208"/>
      <c r="J77" s="225"/>
      <c r="K77" s="225"/>
      <c r="L77" s="208"/>
      <c r="M77" s="208"/>
      <c r="N77" s="208"/>
      <c r="O77" s="208"/>
      <c r="P77" s="208"/>
    </row>
    <row r="78" spans="1:16" s="216" customFormat="1" ht="12.75" hidden="1">
      <c r="A78" s="224"/>
      <c r="E78" s="208"/>
      <c r="F78" s="195"/>
      <c r="G78" s="195"/>
      <c r="H78" s="195"/>
      <c r="J78" s="195"/>
      <c r="K78" s="195"/>
      <c r="L78" s="195"/>
      <c r="M78" s="195"/>
      <c r="N78" s="195"/>
      <c r="O78" s="195"/>
      <c r="P78" s="195"/>
    </row>
    <row r="79" s="216" customFormat="1" ht="12.75" hidden="1">
      <c r="E79" s="195"/>
    </row>
    <row r="80" s="216" customFormat="1" ht="12.75" hidden="1"/>
    <row r="81" s="216" customFormat="1" ht="12.75" hidden="1"/>
    <row r="82" s="216" customFormat="1" ht="12.75" hidden="1"/>
    <row r="83" s="216" customFormat="1" ht="12.75" hidden="1"/>
    <row r="84" s="216" customFormat="1" ht="12.75" hidden="1"/>
    <row r="85" s="216" customFormat="1" ht="12.75" hidden="1"/>
    <row r="86" s="216" customFormat="1" ht="12.75" hidden="1"/>
    <row r="87" s="216" customFormat="1" ht="12.75" hidden="1"/>
    <row r="88" s="216" customFormat="1" ht="12.75" hidden="1"/>
    <row r="89" s="216" customFormat="1" ht="12.75" hidden="1"/>
    <row r="90" s="216" customFormat="1" ht="12.75" hidden="1"/>
    <row r="91" s="216" customFormat="1" ht="12.75" hidden="1"/>
    <row r="92" s="216" customFormat="1" ht="12.75" hidden="1"/>
    <row r="93" s="216" customFormat="1" ht="12.75" hidden="1"/>
    <row r="94" s="216" customFormat="1" ht="12.75" hidden="1"/>
    <row r="95" s="216" customFormat="1" ht="12.75" hidden="1"/>
    <row r="96" s="216" customFormat="1" ht="12.75" hidden="1"/>
    <row r="97" s="216" customFormat="1" ht="12.75" hidden="1"/>
    <row r="98" s="216" customFormat="1" ht="12.75" hidden="1"/>
    <row r="99" s="216" customFormat="1" ht="12.75" hidden="1"/>
    <row r="100" s="216" customFormat="1" ht="12.75" hidden="1"/>
    <row r="101" s="216" customFormat="1" ht="12.75" hidden="1"/>
    <row r="102" s="216" customFormat="1" ht="12.75" hidden="1"/>
    <row r="103" s="216" customFormat="1" ht="12.75" hidden="1"/>
    <row r="104" s="216" customFormat="1" ht="12.75" hidden="1"/>
    <row r="105" s="216" customFormat="1" ht="12.75" hidden="1"/>
    <row r="106" s="216" customFormat="1" ht="12.75" hidden="1"/>
    <row r="107" s="216" customFormat="1" ht="12.75" hidden="1"/>
    <row r="108" s="216" customFormat="1" ht="12.75" hidden="1"/>
    <row r="109" s="216" customFormat="1" ht="12.75" hidden="1"/>
    <row r="110" s="216" customFormat="1" ht="12.75" hidden="1"/>
    <row r="111" s="216" customFormat="1" ht="12.75" hidden="1"/>
    <row r="112" s="216" customFormat="1" ht="12.75" hidden="1"/>
    <row r="113" s="216" customFormat="1" ht="12.75" hidden="1"/>
    <row r="114" s="216" customFormat="1" ht="12.75" hidden="1"/>
    <row r="115" s="216" customFormat="1" ht="12.75" hidden="1"/>
    <row r="116" s="216" customFormat="1" ht="12.75" hidden="1"/>
    <row r="117" s="216" customFormat="1" ht="12.75" hidden="1"/>
    <row r="118" s="216" customFormat="1" ht="12.75" hidden="1"/>
    <row r="119" s="216" customFormat="1" ht="12.75" hidden="1"/>
    <row r="120" s="216" customFormat="1" ht="12.75" hidden="1"/>
    <row r="121" s="216" customFormat="1" ht="12.75" hidden="1"/>
    <row r="122" s="216" customFormat="1" ht="12.75" hidden="1"/>
    <row r="123" s="216" customFormat="1" ht="12.75" hidden="1"/>
    <row r="124" s="216" customFormat="1" ht="12.75" hidden="1"/>
    <row r="125" s="216" customFormat="1" ht="12.75" hidden="1"/>
    <row r="126" s="216" customFormat="1" ht="12.75" hidden="1"/>
    <row r="127" s="216" customFormat="1" ht="12.75" hidden="1"/>
    <row r="128" s="216" customFormat="1" ht="12.75" hidden="1"/>
    <row r="129" s="216" customFormat="1" ht="12.75"/>
    <row r="130" s="216" customFormat="1" ht="12.75"/>
    <row r="131" s="216" customFormat="1" ht="12.75"/>
    <row r="132" s="216" customFormat="1" ht="12.75"/>
    <row r="133" s="216" customFormat="1" ht="12.75"/>
    <row r="134" s="216" customFormat="1" ht="12.75"/>
    <row r="135" s="216" customFormat="1" ht="12.75"/>
    <row r="136" s="216" customFormat="1" ht="12.75"/>
    <row r="137" s="216" customFormat="1" ht="12.75"/>
    <row r="138" s="216" customFormat="1" ht="12.75"/>
    <row r="139" s="216" customFormat="1" ht="12.75"/>
    <row r="140" s="216" customFormat="1" ht="12.75"/>
    <row r="141" s="216" customFormat="1" ht="12.75"/>
    <row r="142" s="216" customFormat="1" ht="12.75"/>
    <row r="143" s="216" customFormat="1" ht="12.75"/>
    <row r="144" s="216" customFormat="1" ht="12.75"/>
    <row r="145" s="216" customFormat="1" ht="12.75"/>
    <row r="146" s="216" customFormat="1" ht="12.75"/>
    <row r="147" s="216" customFormat="1" ht="12.75"/>
    <row r="148" s="216" customFormat="1" ht="12.75"/>
    <row r="149" s="216" customFormat="1" ht="12.75"/>
    <row r="150" s="216" customFormat="1" ht="12.75"/>
    <row r="151" s="216" customFormat="1" ht="12.75"/>
    <row r="152" s="216" customFormat="1" ht="12.75"/>
    <row r="153" s="216" customFormat="1" ht="12.75"/>
    <row r="154" s="216" customFormat="1" ht="12.75"/>
    <row r="155" s="216" customFormat="1" ht="12.75"/>
    <row r="156" s="216" customFormat="1" ht="12.75"/>
    <row r="157" s="216" customFormat="1" ht="12.75"/>
    <row r="158" s="216" customFormat="1" ht="12.75"/>
    <row r="159" s="216" customFormat="1" ht="12.75"/>
    <row r="160" s="216" customFormat="1" ht="12.75"/>
    <row r="161" s="216" customFormat="1" ht="12.75"/>
    <row r="162" s="216" customFormat="1" ht="12.75"/>
    <row r="163" s="216" customFormat="1" ht="12.75"/>
    <row r="164" s="216" customFormat="1" ht="12.75"/>
    <row r="165" s="216" customFormat="1" ht="12.75"/>
    <row r="166" s="216" customFormat="1" ht="12.75"/>
    <row r="167" s="216" customFormat="1" ht="12.75"/>
    <row r="168" s="216" customFormat="1" ht="12.75"/>
    <row r="169" s="216" customFormat="1" ht="12.75"/>
    <row r="170" s="216" customFormat="1" ht="12.75"/>
    <row r="171" s="216" customFormat="1" ht="12.75"/>
    <row r="172" s="216" customFormat="1" ht="12.75"/>
    <row r="173" s="216" customFormat="1" ht="12.75"/>
    <row r="174" s="216" customFormat="1" ht="12.75"/>
    <row r="175" s="216" customFormat="1" ht="12.75"/>
    <row r="176" s="216" customFormat="1" ht="12.75"/>
    <row r="177" s="216" customFormat="1" ht="12.75"/>
    <row r="178" s="216" customFormat="1" ht="12.75"/>
    <row r="179" s="216" customFormat="1" ht="12.75"/>
    <row r="180" s="216" customFormat="1" ht="12.75"/>
    <row r="181" s="216" customFormat="1" ht="12.75"/>
    <row r="182" s="216" customFormat="1" ht="12.75"/>
    <row r="183" s="216" customFormat="1" ht="12.75"/>
    <row r="184" s="216" customFormat="1" ht="12.75"/>
    <row r="185" s="216" customFormat="1" ht="12.75"/>
    <row r="186" s="216" customFormat="1" ht="12.75"/>
    <row r="187" s="216" customFormat="1" ht="12.75"/>
    <row r="188" s="216" customFormat="1" ht="12.75"/>
    <row r="189" s="216" customFormat="1" ht="12.75"/>
    <row r="190" s="216" customFormat="1" ht="12.75"/>
    <row r="191" s="216" customFormat="1" ht="12.75"/>
    <row r="192" s="216" customFormat="1" ht="12.75"/>
    <row r="193" s="216" customFormat="1" ht="12.75"/>
    <row r="194" s="216" customFormat="1" ht="12.75"/>
    <row r="195" s="216" customFormat="1" ht="12.75"/>
    <row r="196" s="216" customFormat="1" ht="12.75"/>
    <row r="197" s="216" customFormat="1" ht="12.75"/>
    <row r="198" s="216" customFormat="1" ht="12.75"/>
    <row r="199" s="216" customFormat="1" ht="12.75"/>
    <row r="200" s="216" customFormat="1" ht="12.75"/>
    <row r="201" s="216" customFormat="1" ht="12.75"/>
    <row r="202" s="216" customFormat="1" ht="12.75"/>
    <row r="203" s="216" customFormat="1" ht="12.75"/>
    <row r="204" s="216" customFormat="1" ht="12.75"/>
    <row r="205" s="216" customFormat="1" ht="12.75"/>
    <row r="206" s="216" customFormat="1" ht="12.75"/>
    <row r="207" s="216" customFormat="1" ht="12.75"/>
    <row r="208" s="216" customFormat="1" ht="12.75"/>
    <row r="209" s="216" customFormat="1" ht="12.75"/>
    <row r="210" s="216" customFormat="1" ht="12.75"/>
    <row r="211" s="216" customFormat="1" ht="12.75"/>
    <row r="212" s="216" customFormat="1" ht="12.75"/>
  </sheetData>
  <sheetProtection sheet="1" insertColumns="0" insertRows="0"/>
  <mergeCells count="3">
    <mergeCell ref="O8:O10"/>
    <mergeCell ref="H9:I9"/>
    <mergeCell ref="N8:N10"/>
  </mergeCells>
  <dataValidations count="5">
    <dataValidation promptTitle="Units" prompt="Select the unit that corresponds to the measure and quantity indicated." errorTitle="Unit Value not Recognized" error="The unit value for this measure is not recognized.  Please add this unit value to the list at the bottom of this spreadsheet by inserting a new cell above the orange cell and entering this value." sqref="L42:L55 L57:L58 K11:L31 L33 G11:H31"/>
    <dataValidation allowBlank="1" showInputMessage="1" showErrorMessage="1" promptTitle="Partner Fees" prompt="Enter the total Partner Fee to provide the modeling service required under the Multifamily Performance Program.  Fees should be entered for just a single building, if more than one identical building (= Partner Fee ÷ # of identical buildings)." sqref="J59"/>
    <dataValidation allowBlank="1" showInputMessage="1" showErrorMessage="1" promptTitle="Partner Fees" prompt="Enter the total Partner Fee to provide the inspection service required under the Multifamily Performance Program.  Fees should be entered for just a single building, if more than one identical building (= Partner Fee ÷ # of identical buildings)." sqref="J60"/>
    <dataValidation allowBlank="1" showInputMessage="1" showErrorMessage="1" promptTitle="Partner Fees" prompt="Enter the total Partner Fee to provide the other services.  Fees should be entered for just a single building, if more than one identical building (= Partner Fee ÷ # of identical buildings)." sqref="J61"/>
    <dataValidation showErrorMessage="1" promptTitle="Units" prompt="Select the unit that corresponds to the measure and quantity indicated." errorTitle="Unit Value not Recognized" error="The unit value for this measure is not recognized.  Please add this unit value to the list at the bottom of this spreadsheet by inserting a new cell above the orange cell and entering this value." sqref="I11:I31"/>
  </dataValidations>
  <printOptions/>
  <pageMargins left="0.5" right="0.5" top="1" bottom="1" header="0.5" footer="0.5"/>
  <pageSetup fitToHeight="1" fitToWidth="1" horizontalDpi="600" verticalDpi="600" orientation="landscape" scale="39"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D185"/>
  <sheetViews>
    <sheetView showGridLines="0" zoomScale="90" zoomScaleNormal="90" zoomScalePageLayoutView="85" workbookViewId="0" topLeftCell="B1">
      <selection activeCell="B1" sqref="B1"/>
    </sheetView>
  </sheetViews>
  <sheetFormatPr defaultColWidth="9.140625" defaultRowHeight="12.75"/>
  <cols>
    <col min="1" max="1" width="0.85546875" style="12" customWidth="1"/>
    <col min="2" max="2" width="12.140625" style="12" customWidth="1"/>
    <col min="3" max="3" width="12.28125" style="12" customWidth="1"/>
    <col min="4" max="4" width="10.421875" style="12" customWidth="1"/>
    <col min="5" max="10" width="10.00390625" style="12" customWidth="1"/>
    <col min="11" max="11" width="9.421875" style="12" customWidth="1"/>
    <col min="12" max="12" width="0.9921875" style="12" customWidth="1"/>
    <col min="13" max="29" width="9.140625" style="12" customWidth="1"/>
    <col min="30" max="30" width="0" style="12" hidden="1" customWidth="1"/>
    <col min="31" max="16384" width="9.140625" style="12" customWidth="1"/>
  </cols>
  <sheetData>
    <row r="1" spans="1:12" ht="12.75">
      <c r="A1" s="226"/>
      <c r="B1" s="226"/>
      <c r="C1" s="226"/>
      <c r="D1" s="226"/>
      <c r="E1" s="226"/>
      <c r="F1" s="226"/>
      <c r="G1" s="226"/>
      <c r="H1" s="226"/>
      <c r="I1" s="226"/>
      <c r="J1" s="226"/>
      <c r="K1" s="226"/>
      <c r="L1" s="226"/>
    </row>
    <row r="2" spans="1:12" ht="20.25" customHeight="1">
      <c r="A2" s="226"/>
      <c r="B2" s="1181" t="s">
        <v>523</v>
      </c>
      <c r="C2" s="1182"/>
      <c r="D2" s="1182"/>
      <c r="E2" s="1182"/>
      <c r="F2" s="1182"/>
      <c r="G2" s="1182"/>
      <c r="H2" s="1182"/>
      <c r="I2" s="1182"/>
      <c r="J2" s="1182"/>
      <c r="K2" s="1182"/>
      <c r="L2" s="226"/>
    </row>
    <row r="3" spans="1:12" ht="21.75" customHeight="1">
      <c r="A3" s="226"/>
      <c r="B3" s="1182"/>
      <c r="C3" s="1182"/>
      <c r="D3" s="1182"/>
      <c r="E3" s="1182"/>
      <c r="F3" s="1182"/>
      <c r="G3" s="1182"/>
      <c r="H3" s="1182"/>
      <c r="I3" s="1182"/>
      <c r="J3" s="1182"/>
      <c r="K3" s="1182"/>
      <c r="L3" s="226"/>
    </row>
    <row r="4" spans="1:12" ht="15">
      <c r="A4" s="1177" t="s">
        <v>610</v>
      </c>
      <c r="B4" s="1177"/>
      <c r="C4" s="1177"/>
      <c r="D4" s="1177"/>
      <c r="E4" s="1177"/>
      <c r="F4" s="1177"/>
      <c r="G4" s="1177"/>
      <c r="H4" s="1177"/>
      <c r="I4" s="1177"/>
      <c r="J4" s="1177"/>
      <c r="K4" s="1177"/>
      <c r="L4" s="1177"/>
    </row>
    <row r="5" spans="1:12" ht="12.75">
      <c r="A5" s="14"/>
      <c r="B5" s="14"/>
      <c r="C5" s="14"/>
      <c r="D5" s="14"/>
      <c r="E5" s="14"/>
      <c r="F5" s="14"/>
      <c r="G5" s="14"/>
      <c r="H5" s="14"/>
      <c r="I5" s="14"/>
      <c r="J5" s="14"/>
      <c r="K5" s="14"/>
      <c r="L5" s="14"/>
    </row>
    <row r="6" spans="1:12" ht="12.75" customHeight="1">
      <c r="A6" s="226"/>
      <c r="B6" s="227" t="s">
        <v>212</v>
      </c>
      <c r="C6" s="226"/>
      <c r="D6" s="226"/>
      <c r="E6" s="226"/>
      <c r="F6" s="226"/>
      <c r="G6" s="226"/>
      <c r="H6" s="226"/>
      <c r="I6" s="226"/>
      <c r="J6" s="226"/>
      <c r="K6" s="226"/>
      <c r="L6" s="226"/>
    </row>
    <row r="7" spans="1:13" ht="12.75" customHeight="1">
      <c r="A7" s="226"/>
      <c r="B7" s="1183" t="s">
        <v>524</v>
      </c>
      <c r="C7" s="1183"/>
      <c r="D7" s="1183"/>
      <c r="E7" s="1183"/>
      <c r="F7" s="1183"/>
      <c r="G7" s="1183"/>
      <c r="H7" s="1183"/>
      <c r="I7" s="1183"/>
      <c r="J7" s="1183"/>
      <c r="K7" s="1183"/>
      <c r="L7" s="226"/>
      <c r="M7" s="13"/>
    </row>
    <row r="8" spans="1:12" ht="12.75">
      <c r="A8" s="226"/>
      <c r="B8" s="1183"/>
      <c r="C8" s="1183"/>
      <c r="D8" s="1183"/>
      <c r="E8" s="1183"/>
      <c r="F8" s="1183"/>
      <c r="G8" s="1183"/>
      <c r="H8" s="1183"/>
      <c r="I8" s="1183"/>
      <c r="J8" s="1183"/>
      <c r="K8" s="1183"/>
      <c r="L8" s="226"/>
    </row>
    <row r="9" spans="1:12" ht="12.75">
      <c r="A9" s="226"/>
      <c r="B9" s="1183"/>
      <c r="C9" s="1183"/>
      <c r="D9" s="1183"/>
      <c r="E9" s="1183"/>
      <c r="F9" s="1183"/>
      <c r="G9" s="1183"/>
      <c r="H9" s="1183"/>
      <c r="I9" s="1183"/>
      <c r="J9" s="1183"/>
      <c r="K9" s="1183"/>
      <c r="L9" s="226"/>
    </row>
    <row r="10" spans="1:12" ht="12.75">
      <c r="A10" s="14"/>
      <c r="B10" s="1183"/>
      <c r="C10" s="1183"/>
      <c r="D10" s="1183"/>
      <c r="E10" s="1183"/>
      <c r="F10" s="1183"/>
      <c r="G10" s="1183"/>
      <c r="H10" s="1183"/>
      <c r="I10" s="1183"/>
      <c r="J10" s="1183"/>
      <c r="K10" s="1183"/>
      <c r="L10" s="14"/>
    </row>
    <row r="11" spans="1:12" ht="12.75" customHeight="1">
      <c r="A11" s="14"/>
      <c r="B11" s="1178" t="s">
        <v>611</v>
      </c>
      <c r="C11" s="1174"/>
      <c r="D11" s="1174"/>
      <c r="E11" s="1174"/>
      <c r="F11" s="1174"/>
      <c r="G11" s="1174"/>
      <c r="H11" s="1174"/>
      <c r="I11" s="1174"/>
      <c r="J11" s="1174"/>
      <c r="K11" s="1174"/>
      <c r="L11" s="14"/>
    </row>
    <row r="12" spans="1:12" ht="12.75">
      <c r="A12" s="14"/>
      <c r="B12" s="1179" t="s">
        <v>612</v>
      </c>
      <c r="C12" s="1179"/>
      <c r="D12" s="1179"/>
      <c r="E12" s="1179"/>
      <c r="F12" s="1179"/>
      <c r="G12" s="1179"/>
      <c r="H12" s="1179"/>
      <c r="I12" s="1179"/>
      <c r="J12" s="1179"/>
      <c r="K12" s="1179"/>
      <c r="L12" s="14"/>
    </row>
    <row r="13" spans="1:12" ht="12.75">
      <c r="A13" s="14"/>
      <c r="B13" s="1179" t="s">
        <v>613</v>
      </c>
      <c r="C13" s="1179"/>
      <c r="D13" s="1179"/>
      <c r="E13" s="1179"/>
      <c r="F13" s="1179"/>
      <c r="G13" s="1179"/>
      <c r="H13" s="1179"/>
      <c r="I13" s="1179"/>
      <c r="J13" s="1179"/>
      <c r="K13" s="1179"/>
      <c r="L13" s="14"/>
    </row>
    <row r="14" spans="1:12" ht="12.75">
      <c r="A14" s="14"/>
      <c r="B14" s="1179" t="s">
        <v>614</v>
      </c>
      <c r="C14" s="1179"/>
      <c r="D14" s="1179"/>
      <c r="E14" s="1179"/>
      <c r="F14" s="1179"/>
      <c r="G14" s="1179"/>
      <c r="H14" s="1179"/>
      <c r="I14" s="1179"/>
      <c r="J14" s="1179"/>
      <c r="K14" s="1179"/>
      <c r="L14" s="14"/>
    </row>
    <row r="15" spans="1:12" ht="12.75">
      <c r="A15" s="14"/>
      <c r="B15" s="1179" t="s">
        <v>615</v>
      </c>
      <c r="C15" s="1179"/>
      <c r="D15" s="1179"/>
      <c r="E15" s="1179"/>
      <c r="F15" s="1179"/>
      <c r="G15" s="1179"/>
      <c r="H15" s="1179"/>
      <c r="I15" s="1179"/>
      <c r="J15" s="1179"/>
      <c r="K15" s="1179"/>
      <c r="L15" s="14"/>
    </row>
    <row r="16" spans="1:12" ht="12.75">
      <c r="A16" s="14"/>
      <c r="B16" s="14"/>
      <c r="C16" s="14"/>
      <c r="D16" s="14"/>
      <c r="E16" s="14"/>
      <c r="F16" s="14"/>
      <c r="G16" s="14"/>
      <c r="H16" s="14"/>
      <c r="I16" s="14"/>
      <c r="J16" s="14"/>
      <c r="K16" s="14"/>
      <c r="L16" s="14"/>
    </row>
    <row r="17" spans="1:12" ht="12.75">
      <c r="A17" s="14"/>
      <c r="B17" s="1178" t="s">
        <v>616</v>
      </c>
      <c r="C17" s="1180"/>
      <c r="D17" s="1180"/>
      <c r="E17" s="1180"/>
      <c r="F17" s="1180"/>
      <c r="G17" s="1180"/>
      <c r="H17" s="1180"/>
      <c r="I17" s="1180"/>
      <c r="J17" s="1180"/>
      <c r="K17" s="1180"/>
      <c r="L17" s="14"/>
    </row>
    <row r="18" spans="1:12" ht="12.75" customHeight="1">
      <c r="A18" s="14"/>
      <c r="B18" s="228" t="s">
        <v>617</v>
      </c>
      <c r="C18" s="1174" t="s">
        <v>618</v>
      </c>
      <c r="D18" s="1174"/>
      <c r="E18" s="1174"/>
      <c r="F18" s="1174"/>
      <c r="G18" s="1174"/>
      <c r="H18" s="1174"/>
      <c r="I18" s="1174"/>
      <c r="J18" s="1174"/>
      <c r="K18" s="1174"/>
      <c r="L18" s="14"/>
    </row>
    <row r="19" spans="1:12" ht="12.75" customHeight="1">
      <c r="A19" s="14"/>
      <c r="B19" s="228" t="s">
        <v>619</v>
      </c>
      <c r="C19" s="1174" t="s">
        <v>620</v>
      </c>
      <c r="D19" s="1174"/>
      <c r="E19" s="1174"/>
      <c r="F19" s="1174"/>
      <c r="G19" s="1174"/>
      <c r="H19" s="1174"/>
      <c r="I19" s="1174"/>
      <c r="J19" s="1174"/>
      <c r="K19" s="1174"/>
      <c r="L19" s="14"/>
    </row>
    <row r="20" spans="1:12" ht="12.75" customHeight="1">
      <c r="A20" s="14"/>
      <c r="B20" s="228" t="s">
        <v>621</v>
      </c>
      <c r="C20" s="1174" t="s">
        <v>622</v>
      </c>
      <c r="D20" s="1174"/>
      <c r="E20" s="1174"/>
      <c r="F20" s="1174"/>
      <c r="G20" s="1174"/>
      <c r="H20" s="1174"/>
      <c r="I20" s="1174"/>
      <c r="J20" s="1174"/>
      <c r="K20" s="1174"/>
      <c r="L20" s="14"/>
    </row>
    <row r="21" spans="1:12" ht="12.75" customHeight="1">
      <c r="A21" s="14"/>
      <c r="B21" s="228" t="s">
        <v>623</v>
      </c>
      <c r="C21" s="1174" t="s">
        <v>624</v>
      </c>
      <c r="D21" s="1174"/>
      <c r="E21" s="1174"/>
      <c r="F21" s="1174"/>
      <c r="G21" s="1174"/>
      <c r="H21" s="1174"/>
      <c r="I21" s="1174"/>
      <c r="J21" s="1174"/>
      <c r="K21" s="1174"/>
      <c r="L21" s="14"/>
    </row>
    <row r="22" spans="1:12" ht="12.75" customHeight="1">
      <c r="A22" s="14"/>
      <c r="B22" s="228" t="s">
        <v>625</v>
      </c>
      <c r="C22" s="1174" t="s">
        <v>626</v>
      </c>
      <c r="D22" s="1174"/>
      <c r="E22" s="1174"/>
      <c r="F22" s="1174"/>
      <c r="G22" s="1174"/>
      <c r="H22" s="1174"/>
      <c r="I22" s="1174"/>
      <c r="J22" s="1174"/>
      <c r="K22" s="1174"/>
      <c r="L22" s="14"/>
    </row>
    <row r="23" spans="1:12" ht="12.75">
      <c r="A23" s="14"/>
      <c r="B23" s="228" t="s">
        <v>627</v>
      </c>
      <c r="C23" s="1174" t="s">
        <v>628</v>
      </c>
      <c r="D23" s="1174"/>
      <c r="E23" s="1174"/>
      <c r="F23" s="1174"/>
      <c r="G23" s="1174"/>
      <c r="H23" s="1174"/>
      <c r="I23" s="1174"/>
      <c r="J23" s="1174"/>
      <c r="K23" s="1174"/>
      <c r="L23" s="14"/>
    </row>
    <row r="24" spans="1:12" ht="12.75">
      <c r="A24" s="14"/>
      <c r="B24" s="14"/>
      <c r="C24" s="14"/>
      <c r="D24" s="14"/>
      <c r="E24" s="14"/>
      <c r="F24" s="14"/>
      <c r="G24" s="14"/>
      <c r="H24" s="14"/>
      <c r="I24" s="14"/>
      <c r="J24" s="14"/>
      <c r="K24" s="14"/>
      <c r="L24" s="14"/>
    </row>
    <row r="25" spans="1:12" ht="12.75">
      <c r="A25" s="14"/>
      <c r="B25" s="14"/>
      <c r="C25" s="14"/>
      <c r="D25" s="14"/>
      <c r="E25" s="14"/>
      <c r="F25" s="14"/>
      <c r="G25" s="14"/>
      <c r="H25" s="14"/>
      <c r="I25" s="14"/>
      <c r="J25" s="14"/>
      <c r="K25" s="14"/>
      <c r="L25" s="14"/>
    </row>
    <row r="26" spans="1:12" ht="12.75">
      <c r="A26" s="14"/>
      <c r="B26" s="14"/>
      <c r="C26" s="14"/>
      <c r="D26" s="14"/>
      <c r="E26" s="14"/>
      <c r="F26" s="14"/>
      <c r="G26" s="14"/>
      <c r="H26" s="19"/>
      <c r="I26" s="19"/>
      <c r="J26" s="19"/>
      <c r="K26" s="19"/>
      <c r="L26" s="14"/>
    </row>
    <row r="27" spans="1:12" ht="13.5">
      <c r="A27" s="226"/>
      <c r="B27" s="227" t="s">
        <v>517</v>
      </c>
      <c r="C27" s="226"/>
      <c r="D27" s="226"/>
      <c r="E27" s="226"/>
      <c r="F27" s="226"/>
      <c r="G27" s="229" t="s">
        <v>518</v>
      </c>
      <c r="H27" s="1175"/>
      <c r="I27" s="1175"/>
      <c r="J27" s="1175"/>
      <c r="K27" s="1175"/>
      <c r="L27" s="226"/>
    </row>
    <row r="28" spans="1:12" ht="17.25" customHeight="1">
      <c r="A28" s="226"/>
      <c r="B28" s="1183" t="s">
        <v>519</v>
      </c>
      <c r="C28" s="1183"/>
      <c r="D28" s="1183"/>
      <c r="E28" s="1183"/>
      <c r="F28" s="230"/>
      <c r="G28" s="229" t="s">
        <v>520</v>
      </c>
      <c r="H28" s="1175"/>
      <c r="I28" s="1175"/>
      <c r="J28" s="1175"/>
      <c r="K28" s="1175"/>
      <c r="L28" s="226"/>
    </row>
    <row r="29" spans="1:12" ht="17.25" customHeight="1">
      <c r="A29" s="226"/>
      <c r="B29" s="1183"/>
      <c r="C29" s="1183"/>
      <c r="D29" s="1183"/>
      <c r="E29" s="1183"/>
      <c r="F29" s="230"/>
      <c r="G29" s="229" t="s">
        <v>521</v>
      </c>
      <c r="H29" s="1184"/>
      <c r="I29" s="1184"/>
      <c r="J29" s="1184"/>
      <c r="K29" s="1184"/>
      <c r="L29" s="226"/>
    </row>
    <row r="30" spans="1:12" ht="17.25" customHeight="1">
      <c r="A30" s="226"/>
      <c r="B30" s="1183"/>
      <c r="C30" s="1183"/>
      <c r="D30" s="1183"/>
      <c r="E30" s="1183"/>
      <c r="F30" s="230"/>
      <c r="G30" s="226"/>
      <c r="H30" s="226"/>
      <c r="I30" s="226"/>
      <c r="J30" s="226"/>
      <c r="K30" s="226"/>
      <c r="L30" s="226"/>
    </row>
    <row r="31" spans="1:12" ht="17.25" customHeight="1">
      <c r="A31" s="226"/>
      <c r="B31" s="231"/>
      <c r="C31" s="231"/>
      <c r="D31" s="231"/>
      <c r="E31" s="231"/>
      <c r="F31" s="230"/>
      <c r="G31" s="229"/>
      <c r="H31" s="232"/>
      <c r="I31" s="232"/>
      <c r="J31" s="232"/>
      <c r="K31" s="232"/>
      <c r="L31" s="226"/>
    </row>
    <row r="32" spans="1:12" ht="13.5">
      <c r="A32" s="226"/>
      <c r="B32" s="227" t="s">
        <v>522</v>
      </c>
      <c r="C32" s="226"/>
      <c r="D32" s="226"/>
      <c r="E32" s="226"/>
      <c r="F32" s="226"/>
      <c r="G32" s="229" t="s">
        <v>518</v>
      </c>
      <c r="H32" s="1175"/>
      <c r="I32" s="1175"/>
      <c r="J32" s="1175"/>
      <c r="K32" s="1175"/>
      <c r="L32" s="226"/>
    </row>
    <row r="33" spans="1:12" ht="17.25" customHeight="1">
      <c r="A33" s="226"/>
      <c r="B33" s="1183" t="s">
        <v>519</v>
      </c>
      <c r="C33" s="1183"/>
      <c r="D33" s="1183"/>
      <c r="E33" s="1183"/>
      <c r="F33" s="230"/>
      <c r="G33" s="229" t="s">
        <v>520</v>
      </c>
      <c r="H33" s="1175"/>
      <c r="I33" s="1175"/>
      <c r="J33" s="1175"/>
      <c r="K33" s="1175"/>
      <c r="L33" s="226"/>
    </row>
    <row r="34" spans="1:12" ht="17.25" customHeight="1">
      <c r="A34" s="226"/>
      <c r="B34" s="1183"/>
      <c r="C34" s="1183"/>
      <c r="D34" s="1183"/>
      <c r="E34" s="1183"/>
      <c r="F34" s="230"/>
      <c r="G34" s="229" t="s">
        <v>521</v>
      </c>
      <c r="H34" s="1176"/>
      <c r="I34" s="1176"/>
      <c r="J34" s="1176"/>
      <c r="K34" s="1176"/>
      <c r="L34" s="226"/>
    </row>
    <row r="35" spans="1:12" ht="17.25" customHeight="1">
      <c r="A35" s="226"/>
      <c r="B35" s="1183"/>
      <c r="C35" s="1183"/>
      <c r="D35" s="1183"/>
      <c r="E35" s="1183"/>
      <c r="F35" s="230"/>
      <c r="G35" s="226"/>
      <c r="H35" s="226"/>
      <c r="I35" s="226"/>
      <c r="J35" s="226"/>
      <c r="K35" s="226"/>
      <c r="L35" s="226"/>
    </row>
    <row r="36" spans="1:12" ht="12.75">
      <c r="A36" s="226"/>
      <c r="B36" s="233"/>
      <c r="C36" s="226"/>
      <c r="D36" s="226"/>
      <c r="E36" s="226"/>
      <c r="F36" s="226"/>
      <c r="G36" s="229"/>
      <c r="H36" s="226"/>
      <c r="I36" s="226"/>
      <c r="J36" s="226"/>
      <c r="K36" s="226"/>
      <c r="L36" s="226"/>
    </row>
    <row r="37" spans="1:12" ht="12.75">
      <c r="A37" s="226"/>
      <c r="B37" s="233"/>
      <c r="C37" s="226"/>
      <c r="D37" s="226"/>
      <c r="E37" s="226"/>
      <c r="F37" s="226"/>
      <c r="G37" s="229"/>
      <c r="H37" s="226"/>
      <c r="I37" s="226"/>
      <c r="J37" s="226"/>
      <c r="K37" s="226"/>
      <c r="L37" s="226"/>
    </row>
    <row r="38" spans="1:12" ht="15.75" thickBot="1">
      <c r="A38" s="226"/>
      <c r="B38" s="234" t="s">
        <v>395</v>
      </c>
      <c r="C38" s="226"/>
      <c r="D38" s="226"/>
      <c r="E38" s="226"/>
      <c r="F38" s="226"/>
      <c r="G38" s="226"/>
      <c r="H38" s="226"/>
      <c r="I38" s="226"/>
      <c r="J38" s="226"/>
      <c r="K38" s="226"/>
      <c r="L38" s="226"/>
    </row>
    <row r="39" spans="1:12" ht="12.75">
      <c r="A39" s="226"/>
      <c r="B39" s="1167" t="s">
        <v>396</v>
      </c>
      <c r="C39" s="1168"/>
      <c r="D39" s="1169">
        <f>'Reporting Summary'!D7:F7</f>
        <v>0</v>
      </c>
      <c r="E39" s="1170"/>
      <c r="F39" s="1171"/>
      <c r="G39" s="1172" t="s">
        <v>397</v>
      </c>
      <c r="H39" s="1168"/>
      <c r="I39" s="1169">
        <f>'Reporting Summary'!I7:L7</f>
        <v>0</v>
      </c>
      <c r="J39" s="1170"/>
      <c r="K39" s="1173"/>
      <c r="L39" s="226"/>
    </row>
    <row r="40" spans="1:12" ht="12.75">
      <c r="A40" s="226"/>
      <c r="B40" s="1153" t="s">
        <v>398</v>
      </c>
      <c r="C40" s="1145"/>
      <c r="D40" s="1154">
        <f>'Reporting Summary'!D8:F8</f>
        <v>0</v>
      </c>
      <c r="E40" s="1155"/>
      <c r="F40" s="1156"/>
      <c r="G40" s="1144" t="s">
        <v>399</v>
      </c>
      <c r="H40" s="1145"/>
      <c r="I40" s="1146">
        <f>'Reporting Summary'!I8:L8</f>
        <v>0</v>
      </c>
      <c r="J40" s="1147"/>
      <c r="K40" s="1148"/>
      <c r="L40" s="226"/>
    </row>
    <row r="41" spans="1:12" ht="12.75">
      <c r="A41" s="226"/>
      <c r="B41" s="1160" t="s">
        <v>400</v>
      </c>
      <c r="C41" s="1145"/>
      <c r="D41" s="1146">
        <f>'Reporting Summary'!D9:F9</f>
        <v>0</v>
      </c>
      <c r="E41" s="1147"/>
      <c r="F41" s="1149"/>
      <c r="G41" s="1144" t="s">
        <v>401</v>
      </c>
      <c r="H41" s="1145"/>
      <c r="I41" s="1146">
        <f>'Reporting Summary'!I9:L9</f>
        <v>0</v>
      </c>
      <c r="J41" s="1147"/>
      <c r="K41" s="1148"/>
      <c r="L41" s="226"/>
    </row>
    <row r="42" spans="1:12" ht="12.75">
      <c r="A42" s="226"/>
      <c r="B42" s="1160" t="s">
        <v>402</v>
      </c>
      <c r="C42" s="1145"/>
      <c r="D42" s="1146">
        <f>'Reporting Summary'!D10:F10</f>
        <v>0</v>
      </c>
      <c r="E42" s="1147"/>
      <c r="F42" s="1149"/>
      <c r="G42" s="1144" t="s">
        <v>403</v>
      </c>
      <c r="H42" s="1145"/>
      <c r="I42" s="1146">
        <f>'Reporting Summary'!I10:L10</f>
        <v>0</v>
      </c>
      <c r="J42" s="1147"/>
      <c r="K42" s="1148"/>
      <c r="L42" s="226"/>
    </row>
    <row r="43" spans="1:12" ht="13.5" thickBot="1">
      <c r="A43" s="226"/>
      <c r="B43" s="1161" t="s">
        <v>404</v>
      </c>
      <c r="C43" s="1162"/>
      <c r="D43" s="1163">
        <f>'Reporting Summary'!D11:F11</f>
        <v>0</v>
      </c>
      <c r="E43" s="1164"/>
      <c r="F43" s="1165"/>
      <c r="G43" s="1166"/>
      <c r="H43" s="1162"/>
      <c r="I43" s="1150"/>
      <c r="J43" s="1151"/>
      <c r="K43" s="1152"/>
      <c r="L43" s="226"/>
    </row>
    <row r="44" spans="1:12" ht="12.75">
      <c r="A44" s="226"/>
      <c r="B44" s="235"/>
      <c r="C44" s="235"/>
      <c r="D44" s="226"/>
      <c r="E44" s="226"/>
      <c r="F44" s="235"/>
      <c r="G44" s="235"/>
      <c r="H44" s="226"/>
      <c r="I44" s="226"/>
      <c r="J44" s="226"/>
      <c r="K44" s="226"/>
      <c r="L44" s="226"/>
    </row>
    <row r="45" spans="1:12" ht="12.75">
      <c r="A45" s="226"/>
      <c r="B45" s="235"/>
      <c r="C45" s="235"/>
      <c r="D45" s="226"/>
      <c r="E45" s="226"/>
      <c r="F45" s="235"/>
      <c r="G45" s="235"/>
      <c r="H45" s="226"/>
      <c r="I45" s="226"/>
      <c r="J45" s="226"/>
      <c r="K45" s="226"/>
      <c r="L45" s="226"/>
    </row>
    <row r="46" spans="1:12" ht="15.75" thickBot="1">
      <c r="A46" s="226"/>
      <c r="B46" s="234" t="s">
        <v>405</v>
      </c>
      <c r="C46" s="235"/>
      <c r="D46" s="226"/>
      <c r="E46" s="226"/>
      <c r="F46" s="235"/>
      <c r="G46" s="235"/>
      <c r="H46" s="226"/>
      <c r="I46" s="226"/>
      <c r="J46" s="226"/>
      <c r="K46" s="226"/>
      <c r="L46" s="226"/>
    </row>
    <row r="47" spans="1:12" ht="12.75">
      <c r="A47" s="226"/>
      <c r="B47" s="1185" t="s">
        <v>406</v>
      </c>
      <c r="C47" s="1168"/>
      <c r="D47" s="1169">
        <f>'Reporting Summary'!D14:F14</f>
        <v>0</v>
      </c>
      <c r="E47" s="1170"/>
      <c r="F47" s="1171"/>
      <c r="G47" s="1186" t="s">
        <v>407</v>
      </c>
      <c r="H47" s="1168"/>
      <c r="I47" s="1169">
        <f>'Reporting Summary'!I14:L14</f>
        <v>0</v>
      </c>
      <c r="J47" s="1170"/>
      <c r="K47" s="1173"/>
      <c r="L47" s="226"/>
    </row>
    <row r="48" spans="1:12" ht="12.75">
      <c r="A48" s="226"/>
      <c r="B48" s="1160" t="s">
        <v>408</v>
      </c>
      <c r="C48" s="1145"/>
      <c r="D48" s="1146">
        <f>'Reporting Summary'!D15:F15</f>
        <v>0</v>
      </c>
      <c r="E48" s="1147"/>
      <c r="F48" s="1149"/>
      <c r="G48" s="1144" t="s">
        <v>409</v>
      </c>
      <c r="H48" s="1145"/>
      <c r="I48" s="1146">
        <f>'Reporting Summary'!I15:L15</f>
        <v>0</v>
      </c>
      <c r="J48" s="1147"/>
      <c r="K48" s="1148"/>
      <c r="L48" s="226"/>
    </row>
    <row r="49" spans="1:12" ht="12.75">
      <c r="A49" s="226"/>
      <c r="B49" s="1160" t="s">
        <v>401</v>
      </c>
      <c r="C49" s="1145"/>
      <c r="D49" s="1146">
        <f>'Reporting Summary'!D16:F16</f>
        <v>0</v>
      </c>
      <c r="E49" s="1147"/>
      <c r="F49" s="1149"/>
      <c r="G49" s="1144" t="s">
        <v>410</v>
      </c>
      <c r="H49" s="1145"/>
      <c r="I49" s="1146">
        <f>'Reporting Summary'!I16:L16</f>
        <v>0</v>
      </c>
      <c r="J49" s="1147"/>
      <c r="K49" s="1148"/>
      <c r="L49" s="226"/>
    </row>
    <row r="50" spans="1:12" ht="13.5" thickBot="1">
      <c r="A50" s="226"/>
      <c r="B50" s="1191" t="s">
        <v>403</v>
      </c>
      <c r="C50" s="1162"/>
      <c r="D50" s="1163">
        <f>'Reporting Summary'!D17:F17</f>
        <v>0</v>
      </c>
      <c r="E50" s="1164"/>
      <c r="F50" s="1165"/>
      <c r="G50" s="1192"/>
      <c r="H50" s="1162"/>
      <c r="I50" s="1150"/>
      <c r="J50" s="1151"/>
      <c r="K50" s="1152"/>
      <c r="L50" s="226"/>
    </row>
    <row r="51" spans="1:12" ht="12.75">
      <c r="A51" s="226"/>
      <c r="B51" s="235"/>
      <c r="C51" s="235"/>
      <c r="D51" s="226"/>
      <c r="E51" s="226"/>
      <c r="F51" s="235"/>
      <c r="G51" s="235"/>
      <c r="H51" s="226"/>
      <c r="I51" s="226"/>
      <c r="J51" s="226"/>
      <c r="K51" s="226"/>
      <c r="L51" s="226"/>
    </row>
    <row r="52" spans="1:12" ht="12.75">
      <c r="A52" s="226"/>
      <c r="B52" s="235"/>
      <c r="C52" s="235"/>
      <c r="D52" s="226"/>
      <c r="E52" s="226"/>
      <c r="F52" s="235"/>
      <c r="G52" s="235"/>
      <c r="H52" s="226"/>
      <c r="I52" s="226"/>
      <c r="J52" s="226"/>
      <c r="K52" s="226"/>
      <c r="L52" s="226"/>
    </row>
    <row r="53" spans="1:12" ht="15.75" thickBot="1">
      <c r="A53" s="226"/>
      <c r="B53" s="226"/>
      <c r="C53" s="236" t="s">
        <v>411</v>
      </c>
      <c r="D53" s="237"/>
      <c r="E53" s="237"/>
      <c r="F53" s="238"/>
      <c r="G53" s="235"/>
      <c r="H53" s="226"/>
      <c r="I53" s="226"/>
      <c r="J53" s="226"/>
      <c r="K53" s="226"/>
      <c r="L53" s="226"/>
    </row>
    <row r="54" spans="1:12" ht="12.75" customHeight="1">
      <c r="A54" s="226"/>
      <c r="B54" s="226"/>
      <c r="C54" s="1193" t="s">
        <v>412</v>
      </c>
      <c r="D54" s="1194"/>
      <c r="E54" s="1195">
        <f>'Reporting Summary'!D20</f>
        <v>0</v>
      </c>
      <c r="F54" s="1196"/>
      <c r="G54" s="1187" t="s">
        <v>33</v>
      </c>
      <c r="H54" s="1188"/>
      <c r="I54" s="1189">
        <f>'Reporting Summary'!I20:L20</f>
        <v>0</v>
      </c>
      <c r="J54" s="1190"/>
      <c r="K54" s="239"/>
      <c r="L54" s="226"/>
    </row>
    <row r="55" spans="1:12" ht="12.75" customHeight="1">
      <c r="A55" s="226"/>
      <c r="B55" s="226"/>
      <c r="C55" s="1193" t="s">
        <v>413</v>
      </c>
      <c r="D55" s="1194"/>
      <c r="E55" s="1195">
        <f>'Reporting Summary'!D21</f>
        <v>0</v>
      </c>
      <c r="F55" s="1196"/>
      <c r="G55" s="1197" t="s">
        <v>196</v>
      </c>
      <c r="H55" s="1198"/>
      <c r="I55" s="1157">
        <f>'Reporting Summary'!I21:L21</f>
        <v>0</v>
      </c>
      <c r="J55" s="1199"/>
      <c r="K55" s="239"/>
      <c r="L55" s="226"/>
    </row>
    <row r="56" spans="1:12" ht="12.75" customHeight="1">
      <c r="A56" s="226"/>
      <c r="B56" s="226"/>
      <c r="C56" s="1193" t="s">
        <v>415</v>
      </c>
      <c r="D56" s="1194"/>
      <c r="E56" s="1195">
        <f>'Reporting Summary'!D22</f>
        <v>0</v>
      </c>
      <c r="F56" s="1196"/>
      <c r="G56" s="1197" t="s">
        <v>414</v>
      </c>
      <c r="H56" s="1198"/>
      <c r="I56" s="1157">
        <f>'Reporting Summary'!I22:L22</f>
        <v>0</v>
      </c>
      <c r="J56" s="1199"/>
      <c r="K56" s="239"/>
      <c r="L56" s="226"/>
    </row>
    <row r="57" spans="1:12" ht="12.75" customHeight="1">
      <c r="A57" s="226"/>
      <c r="B57" s="226"/>
      <c r="C57" s="1193" t="s">
        <v>629</v>
      </c>
      <c r="D57" s="1194"/>
      <c r="E57" s="1195">
        <f>'Reporting Summary'!D23</f>
        <v>0</v>
      </c>
      <c r="F57" s="1196"/>
      <c r="G57" s="1197" t="s">
        <v>416</v>
      </c>
      <c r="H57" s="1198"/>
      <c r="I57" s="1157">
        <f>'Reporting Summary'!I23:L23</f>
        <v>0</v>
      </c>
      <c r="J57" s="1199"/>
      <c r="K57" s="239"/>
      <c r="L57" s="226"/>
    </row>
    <row r="58" spans="1:12" ht="12.75" customHeight="1">
      <c r="A58" s="226"/>
      <c r="B58" s="226"/>
      <c r="C58" s="1193" t="s">
        <v>630</v>
      </c>
      <c r="D58" s="1194"/>
      <c r="E58" s="1195">
        <f>'Reporting Summary'!D24</f>
        <v>0</v>
      </c>
      <c r="F58" s="1196"/>
      <c r="G58" s="1197" t="s">
        <v>299</v>
      </c>
      <c r="H58" s="1198"/>
      <c r="I58" s="1157">
        <f>'Reporting Summary'!I24:L24</f>
        <v>0</v>
      </c>
      <c r="J58" s="1199"/>
      <c r="K58" s="239"/>
      <c r="L58" s="226"/>
    </row>
    <row r="59" spans="1:12" ht="12.75" customHeight="1">
      <c r="A59" s="226"/>
      <c r="B59" s="226"/>
      <c r="C59" s="1193" t="s">
        <v>631</v>
      </c>
      <c r="D59" s="1194"/>
      <c r="E59" s="1195">
        <f>'Reporting Summary'!D25</f>
        <v>0</v>
      </c>
      <c r="F59" s="1196"/>
      <c r="G59" s="1200" t="s">
        <v>34</v>
      </c>
      <c r="H59" s="1194"/>
      <c r="I59" s="1157">
        <f>'Reporting Summary'!I25:L25</f>
        <v>0</v>
      </c>
      <c r="J59" s="1199"/>
      <c r="K59" s="239"/>
      <c r="L59" s="226"/>
    </row>
    <row r="60" spans="1:12" ht="12.75" customHeight="1">
      <c r="A60" s="226"/>
      <c r="B60" s="226"/>
      <c r="C60" s="1193"/>
      <c r="D60" s="1194"/>
      <c r="E60" s="1195"/>
      <c r="F60" s="1196"/>
      <c r="G60" s="1197" t="s">
        <v>420</v>
      </c>
      <c r="H60" s="1198"/>
      <c r="I60" s="1157">
        <f>'Reporting Summary'!I26:L26</f>
        <v>0</v>
      </c>
      <c r="J60" s="1199"/>
      <c r="K60" s="239"/>
      <c r="L60" s="226"/>
    </row>
    <row r="61" spans="1:12" ht="12.75" customHeight="1">
      <c r="A61" s="226"/>
      <c r="B61" s="226"/>
      <c r="C61" s="240"/>
      <c r="D61" s="241"/>
      <c r="E61" s="1205"/>
      <c r="F61" s="1206"/>
      <c r="G61" s="1197" t="s">
        <v>421</v>
      </c>
      <c r="H61" s="1198"/>
      <c r="I61" s="1157">
        <f>'Reporting Summary'!I27:L27</f>
        <v>0</v>
      </c>
      <c r="J61" s="1199"/>
      <c r="K61" s="239"/>
      <c r="L61" s="226"/>
    </row>
    <row r="62" spans="1:12" ht="12.75" customHeight="1" thickBot="1">
      <c r="A62" s="226"/>
      <c r="B62" s="226"/>
      <c r="C62" s="1207"/>
      <c r="D62" s="1208"/>
      <c r="E62" s="1209"/>
      <c r="F62" s="1210"/>
      <c r="G62" s="1211" t="s">
        <v>422</v>
      </c>
      <c r="H62" s="1212"/>
      <c r="I62" s="1213">
        <f>'Reporting Summary'!I28:L28</f>
        <v>0</v>
      </c>
      <c r="J62" s="1214"/>
      <c r="K62" s="239"/>
      <c r="L62" s="226"/>
    </row>
    <row r="63" spans="1:12" ht="8.25" customHeight="1" thickBot="1">
      <c r="A63" s="226"/>
      <c r="B63" s="242"/>
      <c r="C63" s="242"/>
      <c r="D63" s="242"/>
      <c r="E63" s="242"/>
      <c r="F63" s="242"/>
      <c r="G63" s="226"/>
      <c r="H63" s="226"/>
      <c r="I63" s="226"/>
      <c r="J63" s="226"/>
      <c r="K63" s="226"/>
      <c r="L63" s="226"/>
    </row>
    <row r="64" spans="1:12" ht="15.75" customHeight="1">
      <c r="A64" s="226"/>
      <c r="B64" s="226"/>
      <c r="C64" s="1215" t="s">
        <v>423</v>
      </c>
      <c r="D64" s="1216"/>
      <c r="E64" s="243" t="s">
        <v>293</v>
      </c>
      <c r="F64" s="244" t="s">
        <v>424</v>
      </c>
      <c r="G64" s="243" t="s">
        <v>425</v>
      </c>
      <c r="H64" s="244" t="s">
        <v>426</v>
      </c>
      <c r="I64" s="244" t="s">
        <v>427</v>
      </c>
      <c r="J64" s="245" t="s">
        <v>292</v>
      </c>
      <c r="K64" s="226"/>
      <c r="L64" s="226"/>
    </row>
    <row r="65" spans="1:12" ht="15" customHeight="1">
      <c r="A65" s="226"/>
      <c r="B65" s="226"/>
      <c r="C65" s="1201" t="s">
        <v>75</v>
      </c>
      <c r="D65" s="1202"/>
      <c r="E65" s="246">
        <f>'Reporting Summary'!D31</f>
        <v>0</v>
      </c>
      <c r="F65" s="247">
        <f>'Reporting Summary'!E31</f>
        <v>0</v>
      </c>
      <c r="G65" s="246">
        <f>'Reporting Summary'!F31</f>
        <v>0</v>
      </c>
      <c r="H65" s="247">
        <f>'Reporting Summary'!G31</f>
        <v>0</v>
      </c>
      <c r="I65" s="247">
        <f>'Reporting Summary'!H31</f>
        <v>0</v>
      </c>
      <c r="J65" s="248">
        <f>'Reporting Summary'!I31</f>
        <v>0</v>
      </c>
      <c r="K65" s="226"/>
      <c r="L65" s="226"/>
    </row>
    <row r="66" spans="1:12" ht="15" customHeight="1" thickBot="1">
      <c r="A66" s="226"/>
      <c r="B66" s="226"/>
      <c r="C66" s="1220" t="s">
        <v>35</v>
      </c>
      <c r="D66" s="1221"/>
      <c r="E66" s="249" t="str">
        <f>'Reporting Summary'!D32</f>
        <v>NA</v>
      </c>
      <c r="F66" s="250" t="str">
        <f>'Reporting Summary'!E32</f>
        <v>NA</v>
      </c>
      <c r="G66" s="249" t="str">
        <f>'Reporting Summary'!F32</f>
        <v>NA</v>
      </c>
      <c r="H66" s="250" t="str">
        <f>'Reporting Summary'!G32</f>
        <v>NA</v>
      </c>
      <c r="I66" s="250" t="str">
        <f>'Reporting Summary'!H32</f>
        <v>NA</v>
      </c>
      <c r="J66" s="550" t="e">
        <f>'Reporting Summary'!I32</f>
        <v>#DIV/0!</v>
      </c>
      <c r="K66" s="226"/>
      <c r="L66" s="226"/>
    </row>
    <row r="67" spans="1:12" ht="9.75" customHeight="1">
      <c r="A67" s="226"/>
      <c r="B67" s="226"/>
      <c r="C67" s="226"/>
      <c r="D67" s="226"/>
      <c r="E67" s="226"/>
      <c r="F67" s="226"/>
      <c r="G67" s="226"/>
      <c r="H67" s="226"/>
      <c r="I67" s="226"/>
      <c r="J67" s="226"/>
      <c r="K67" s="226"/>
      <c r="L67" s="226"/>
    </row>
    <row r="68" spans="1:12" ht="9.75" customHeight="1">
      <c r="A68" s="226"/>
      <c r="B68" s="226"/>
      <c r="C68" s="226"/>
      <c r="D68" s="226"/>
      <c r="E68" s="226"/>
      <c r="F68" s="226"/>
      <c r="G68" s="226"/>
      <c r="H68" s="226"/>
      <c r="I68" s="226"/>
      <c r="J68" s="226"/>
      <c r="K68" s="226"/>
      <c r="L68" s="226"/>
    </row>
    <row r="69" spans="1:12" ht="15.75" thickBot="1">
      <c r="A69" s="226"/>
      <c r="B69" s="234" t="s">
        <v>632</v>
      </c>
      <c r="C69" s="226"/>
      <c r="D69" s="226"/>
      <c r="E69" s="226"/>
      <c r="F69" s="226"/>
      <c r="G69" s="226"/>
      <c r="H69" s="226"/>
      <c r="I69" s="226"/>
      <c r="J69" s="226"/>
      <c r="K69" s="226"/>
      <c r="L69" s="226"/>
    </row>
    <row r="70" spans="1:12" ht="38.25" customHeight="1">
      <c r="A70" s="226"/>
      <c r="B70" s="1222" t="s">
        <v>428</v>
      </c>
      <c r="C70" s="1223"/>
      <c r="D70" s="251" t="s">
        <v>429</v>
      </c>
      <c r="E70" s="1224" t="s">
        <v>430</v>
      </c>
      <c r="F70" s="1223"/>
      <c r="G70" s="1225"/>
      <c r="H70" s="1224" t="s">
        <v>431</v>
      </c>
      <c r="I70" s="1226"/>
      <c r="J70" s="1226"/>
      <c r="K70" s="1227"/>
      <c r="L70" s="226"/>
    </row>
    <row r="71" spans="1:12" ht="12.75" customHeight="1">
      <c r="A71" s="226"/>
      <c r="B71" s="1228" t="s">
        <v>526</v>
      </c>
      <c r="C71" s="1229"/>
      <c r="D71" s="1229"/>
      <c r="E71" s="1229"/>
      <c r="F71" s="1229"/>
      <c r="G71" s="1229"/>
      <c r="H71" s="1229"/>
      <c r="I71" s="1229"/>
      <c r="J71" s="1229"/>
      <c r="K71" s="1230"/>
      <c r="L71" s="226"/>
    </row>
    <row r="72" spans="1:12" ht="12.75" customHeight="1">
      <c r="A72" s="226"/>
      <c r="B72" s="1203" t="s">
        <v>527</v>
      </c>
      <c r="C72" s="1204"/>
      <c r="D72" s="252" t="s">
        <v>528</v>
      </c>
      <c r="E72" s="1205" t="s">
        <v>604</v>
      </c>
      <c r="F72" s="1231"/>
      <c r="G72" s="1206"/>
      <c r="H72" s="1232" t="str">
        <f>E72</f>
        <v>72/70</v>
      </c>
      <c r="I72" s="1233"/>
      <c r="J72" s="1233"/>
      <c r="K72" s="1234"/>
      <c r="L72" s="226"/>
    </row>
    <row r="73" spans="1:12" ht="12.75" customHeight="1">
      <c r="A73" s="226"/>
      <c r="B73" s="1203" t="s">
        <v>529</v>
      </c>
      <c r="C73" s="1204"/>
      <c r="D73" s="252" t="s">
        <v>528</v>
      </c>
      <c r="E73" s="933" t="s">
        <v>605</v>
      </c>
      <c r="F73" s="934"/>
      <c r="G73" s="935"/>
      <c r="H73" s="1217" t="str">
        <f>E73</f>
        <v>78/80</v>
      </c>
      <c r="I73" s="1218"/>
      <c r="J73" s="1218"/>
      <c r="K73" s="1219"/>
      <c r="L73" s="226"/>
    </row>
    <row r="74" spans="1:12" ht="12.75" customHeight="1">
      <c r="A74" s="226"/>
      <c r="B74" s="1203" t="s">
        <v>446</v>
      </c>
      <c r="C74" s="1204"/>
      <c r="D74" s="252" t="s">
        <v>530</v>
      </c>
      <c r="E74" s="933">
        <v>12</v>
      </c>
      <c r="F74" s="934"/>
      <c r="G74" s="935"/>
      <c r="H74" s="1217">
        <v>12</v>
      </c>
      <c r="I74" s="1218"/>
      <c r="J74" s="1218"/>
      <c r="K74" s="1219"/>
      <c r="L74" s="226"/>
    </row>
    <row r="75" spans="1:12" ht="12.75" customHeight="1">
      <c r="A75" s="226"/>
      <c r="B75" s="1203" t="s">
        <v>531</v>
      </c>
      <c r="C75" s="1204"/>
      <c r="D75" s="252" t="s">
        <v>530</v>
      </c>
      <c r="E75" s="878"/>
      <c r="F75" s="879"/>
      <c r="G75" s="880"/>
      <c r="H75" s="1135"/>
      <c r="I75" s="1136"/>
      <c r="J75" s="1136"/>
      <c r="K75" s="1137"/>
      <c r="L75" s="226"/>
    </row>
    <row r="76" spans="1:12" ht="12.75" customHeight="1">
      <c r="A76" s="226"/>
      <c r="B76" s="1203" t="s">
        <v>532</v>
      </c>
      <c r="C76" s="1204"/>
      <c r="D76" s="252" t="s">
        <v>530</v>
      </c>
      <c r="E76" s="1205">
        <v>2.34</v>
      </c>
      <c r="F76" s="1231"/>
      <c r="G76" s="1206"/>
      <c r="H76" s="1217">
        <v>2.34</v>
      </c>
      <c r="I76" s="1218"/>
      <c r="J76" s="1218"/>
      <c r="K76" s="1219"/>
      <c r="L76" s="226"/>
    </row>
    <row r="77" spans="1:12" ht="12.75" customHeight="1">
      <c r="A77" s="226"/>
      <c r="B77" s="1228" t="s">
        <v>432</v>
      </c>
      <c r="C77" s="1229"/>
      <c r="D77" s="1229"/>
      <c r="E77" s="1229"/>
      <c r="F77" s="1229"/>
      <c r="G77" s="1229"/>
      <c r="H77" s="1229"/>
      <c r="I77" s="1229"/>
      <c r="J77" s="1229"/>
      <c r="K77" s="1230"/>
      <c r="L77" s="226"/>
    </row>
    <row r="78" spans="1:12" ht="12.75">
      <c r="A78" s="226"/>
      <c r="B78" s="1203" t="s">
        <v>433</v>
      </c>
      <c r="C78" s="1204"/>
      <c r="D78" s="252" t="s">
        <v>437</v>
      </c>
      <c r="E78" s="1241">
        <f>'Reporting Summary'!E47:G47</f>
        <v>0</v>
      </c>
      <c r="F78" s="1242"/>
      <c r="G78" s="1243"/>
      <c r="H78" s="1232">
        <f>'Reporting Summary'!H47:L47</f>
        <v>0</v>
      </c>
      <c r="I78" s="1233"/>
      <c r="J78" s="1233"/>
      <c r="K78" s="1234"/>
      <c r="L78" s="226"/>
    </row>
    <row r="79" spans="1:12" ht="12.75">
      <c r="A79" s="226"/>
      <c r="B79" s="1203" t="s">
        <v>434</v>
      </c>
      <c r="C79" s="1204"/>
      <c r="D79" s="252" t="s">
        <v>437</v>
      </c>
      <c r="E79" s="1205" t="e">
        <f>'Reporting Summary'!#REF!</f>
        <v>#REF!</v>
      </c>
      <c r="F79" s="1231"/>
      <c r="G79" s="1206"/>
      <c r="H79" s="1217" t="e">
        <f>'Reporting Summary'!#REF!</f>
        <v>#REF!</v>
      </c>
      <c r="I79" s="1218"/>
      <c r="J79" s="1218"/>
      <c r="K79" s="1219"/>
      <c r="L79" s="226"/>
    </row>
    <row r="80" spans="1:12" ht="12.75">
      <c r="A80" s="226"/>
      <c r="B80" s="1203" t="s">
        <v>435</v>
      </c>
      <c r="C80" s="1204"/>
      <c r="D80" s="252" t="s">
        <v>139</v>
      </c>
      <c r="E80" s="1205">
        <f>'Reporting Summary'!E49:G49</f>
        <v>0</v>
      </c>
      <c r="F80" s="1231"/>
      <c r="G80" s="1206"/>
      <c r="H80" s="1217">
        <f>'Reporting Summary'!H49:L49</f>
        <v>0</v>
      </c>
      <c r="I80" s="1218"/>
      <c r="J80" s="1218"/>
      <c r="K80" s="1219"/>
      <c r="L80" s="226"/>
    </row>
    <row r="81" spans="1:12" ht="12.75">
      <c r="A81" s="226"/>
      <c r="B81" s="1203" t="s">
        <v>533</v>
      </c>
      <c r="C81" s="1204"/>
      <c r="D81" s="252" t="s">
        <v>534</v>
      </c>
      <c r="E81" s="1235">
        <f>'Reporting Summary'!E54:G54</f>
        <v>0</v>
      </c>
      <c r="F81" s="1236"/>
      <c r="G81" s="1237"/>
      <c r="H81" s="1238">
        <f>'Reporting Summary'!H54:L54</f>
        <v>0</v>
      </c>
      <c r="I81" s="1239"/>
      <c r="J81" s="1239"/>
      <c r="K81" s="1240"/>
      <c r="L81" s="226"/>
    </row>
    <row r="82" spans="1:12" ht="12.75">
      <c r="A82" s="226"/>
      <c r="B82" s="1203" t="s">
        <v>436</v>
      </c>
      <c r="C82" s="1204"/>
      <c r="D82" s="252" t="s">
        <v>437</v>
      </c>
      <c r="E82" s="1235">
        <f>'Reporting Summary'!E55:G55</f>
        <v>0</v>
      </c>
      <c r="F82" s="1236"/>
      <c r="G82" s="1237"/>
      <c r="H82" s="1238">
        <f>'Reporting Summary'!H55:L55</f>
        <v>0</v>
      </c>
      <c r="I82" s="1239"/>
      <c r="J82" s="1239"/>
      <c r="K82" s="1240"/>
      <c r="L82" s="226"/>
    </row>
    <row r="83" spans="1:12" ht="12.75">
      <c r="A83" s="226"/>
      <c r="B83" s="1203" t="s">
        <v>438</v>
      </c>
      <c r="C83" s="1204"/>
      <c r="D83" s="252" t="s">
        <v>439</v>
      </c>
      <c r="E83" s="1235">
        <f>'Reporting Summary'!E56:G56</f>
        <v>0</v>
      </c>
      <c r="F83" s="1236"/>
      <c r="G83" s="1237"/>
      <c r="H83" s="1238">
        <f>'Reporting Summary'!H56:L56</f>
        <v>0</v>
      </c>
      <c r="I83" s="1239"/>
      <c r="J83" s="1239"/>
      <c r="K83" s="1240"/>
      <c r="L83" s="226"/>
    </row>
    <row r="84" spans="1:12" ht="12.75">
      <c r="A84" s="226"/>
      <c r="B84" s="1203" t="s">
        <v>440</v>
      </c>
      <c r="C84" s="1204"/>
      <c r="D84" s="252" t="s">
        <v>439</v>
      </c>
      <c r="E84" s="1235">
        <f>'Reporting Summary'!E57:G57</f>
        <v>0</v>
      </c>
      <c r="F84" s="1236"/>
      <c r="G84" s="1237"/>
      <c r="H84" s="1238">
        <f>'Reporting Summary'!H57:L57</f>
        <v>0</v>
      </c>
      <c r="I84" s="1239"/>
      <c r="J84" s="1239"/>
      <c r="K84" s="1240"/>
      <c r="L84" s="226"/>
    </row>
    <row r="85" spans="1:12" ht="12.75">
      <c r="A85" s="226"/>
      <c r="B85" s="1203" t="s">
        <v>441</v>
      </c>
      <c r="C85" s="1204"/>
      <c r="D85" s="252"/>
      <c r="E85" s="1205">
        <f>'Reporting Summary'!E58:G58</f>
        <v>0</v>
      </c>
      <c r="F85" s="1231"/>
      <c r="G85" s="1206"/>
      <c r="H85" s="1217">
        <f>'Reporting Summary'!H58:L58</f>
        <v>0</v>
      </c>
      <c r="I85" s="1218"/>
      <c r="J85" s="1218"/>
      <c r="K85" s="1219"/>
      <c r="L85" s="226"/>
    </row>
    <row r="86" spans="1:12" ht="12.75" customHeight="1">
      <c r="A86" s="226"/>
      <c r="B86" s="1252" t="s">
        <v>442</v>
      </c>
      <c r="C86" s="1253"/>
      <c r="D86" s="1253"/>
      <c r="E86" s="1253"/>
      <c r="F86" s="1253"/>
      <c r="G86" s="1253"/>
      <c r="H86" s="1253"/>
      <c r="I86" s="1253"/>
      <c r="J86" s="1253"/>
      <c r="K86" s="1254"/>
      <c r="L86" s="226"/>
    </row>
    <row r="87" spans="1:12" ht="12.75" customHeight="1">
      <c r="A87" s="226"/>
      <c r="B87" s="1255" t="s">
        <v>443</v>
      </c>
      <c r="C87" s="1256"/>
      <c r="D87" s="252"/>
      <c r="E87" s="1244"/>
      <c r="F87" s="1245"/>
      <c r="G87" s="1246"/>
      <c r="H87" s="1247"/>
      <c r="I87" s="1248"/>
      <c r="J87" s="1248"/>
      <c r="K87" s="1249"/>
      <c r="L87" s="226"/>
    </row>
    <row r="88" spans="1:12" ht="13.5" customHeight="1">
      <c r="A88" s="226"/>
      <c r="B88" s="1250" t="s">
        <v>444</v>
      </c>
      <c r="C88" s="1257"/>
      <c r="D88" s="252" t="s">
        <v>36</v>
      </c>
      <c r="E88" s="1205" t="str">
        <f>'Reporting Summary'!E61:G61</f>
        <v>0.5 W/SF</v>
      </c>
      <c r="F88" s="1231"/>
      <c r="G88" s="1206"/>
      <c r="H88" s="1258" t="str">
        <f>'Reporting Summary'!H61:I61</f>
        <v>0</v>
      </c>
      <c r="I88" s="1259"/>
      <c r="J88" s="1259"/>
      <c r="K88" s="1260"/>
      <c r="L88" s="226"/>
    </row>
    <row r="89" spans="1:12" ht="12.75" customHeight="1">
      <c r="A89" s="226"/>
      <c r="B89" s="1250" t="s">
        <v>445</v>
      </c>
      <c r="C89" s="1251"/>
      <c r="D89" s="252" t="s">
        <v>36</v>
      </c>
      <c r="E89" s="1261" t="e">
        <f>'Reporting Summary'!E62</f>
        <v>#DIV/0!</v>
      </c>
      <c r="F89" s="1262"/>
      <c r="G89" s="1263"/>
      <c r="H89" s="1258" t="e">
        <f>'Reporting Summary'!H62:I62</f>
        <v>#DIV/0!</v>
      </c>
      <c r="I89" s="1259"/>
      <c r="J89" s="1259"/>
      <c r="K89" s="1260"/>
      <c r="L89" s="226"/>
    </row>
    <row r="90" spans="1:12" ht="13.5" customHeight="1">
      <c r="A90" s="226"/>
      <c r="B90" s="1250" t="s">
        <v>446</v>
      </c>
      <c r="C90" s="1251"/>
      <c r="D90" s="252" t="s">
        <v>61</v>
      </c>
      <c r="E90" s="1235">
        <f>'Reporting Summary'!E63:G63/1000</f>
        <v>0</v>
      </c>
      <c r="F90" s="1236"/>
      <c r="G90" s="1237"/>
      <c r="H90" s="1141">
        <f>'Reporting Summary'!H63:L63/1000</f>
        <v>0</v>
      </c>
      <c r="I90" s="1142"/>
      <c r="J90" s="1142"/>
      <c r="K90" s="1143"/>
      <c r="L90" s="226"/>
    </row>
    <row r="91" spans="1:12" ht="12.75">
      <c r="A91" s="226"/>
      <c r="B91" s="1203" t="s">
        <v>447</v>
      </c>
      <c r="C91" s="1204"/>
      <c r="D91" s="252" t="s">
        <v>535</v>
      </c>
      <c r="E91" s="1265"/>
      <c r="F91" s="1266"/>
      <c r="G91" s="1267"/>
      <c r="H91" s="1135"/>
      <c r="I91" s="1136"/>
      <c r="J91" s="1136"/>
      <c r="K91" s="1137"/>
      <c r="L91" s="226"/>
    </row>
    <row r="92" spans="1:12" ht="12.75">
      <c r="A92" s="226"/>
      <c r="B92" s="1203" t="s">
        <v>536</v>
      </c>
      <c r="C92" s="1264"/>
      <c r="D92" s="252" t="s">
        <v>537</v>
      </c>
      <c r="E92" s="1265"/>
      <c r="F92" s="1266"/>
      <c r="G92" s="1267"/>
      <c r="H92" s="1135"/>
      <c r="I92" s="1136"/>
      <c r="J92" s="1136"/>
      <c r="K92" s="1137"/>
      <c r="L92" s="226"/>
    </row>
    <row r="93" spans="1:12" ht="12.75">
      <c r="A93" s="226"/>
      <c r="B93" s="1250" t="s">
        <v>538</v>
      </c>
      <c r="C93" s="1251"/>
      <c r="D93" s="252" t="s">
        <v>539</v>
      </c>
      <c r="E93" s="1268">
        <f>Appliances!D7</f>
        <v>528.75</v>
      </c>
      <c r="F93" s="1231"/>
      <c r="G93" s="1206"/>
      <c r="H93" s="1141">
        <f>Appliances!C7</f>
        <v>423</v>
      </c>
      <c r="I93" s="1142"/>
      <c r="J93" s="1142"/>
      <c r="K93" s="1143"/>
      <c r="L93" s="226"/>
    </row>
    <row r="94" spans="1:30" ht="12.75">
      <c r="A94" s="226"/>
      <c r="B94" s="1203" t="s">
        <v>540</v>
      </c>
      <c r="C94" s="1264"/>
      <c r="D94" s="252" t="s">
        <v>537</v>
      </c>
      <c r="E94" s="1265"/>
      <c r="F94" s="1266"/>
      <c r="G94" s="1267"/>
      <c r="H94" s="1135"/>
      <c r="I94" s="1136"/>
      <c r="J94" s="1136"/>
      <c r="K94" s="1137"/>
      <c r="L94" s="226"/>
      <c r="AD94" s="12" t="s">
        <v>326</v>
      </c>
    </row>
    <row r="95" spans="1:30" ht="12.75">
      <c r="A95" s="226"/>
      <c r="B95" s="1250" t="s">
        <v>538</v>
      </c>
      <c r="C95" s="1251"/>
      <c r="D95" s="252" t="s">
        <v>539</v>
      </c>
      <c r="E95" s="1268">
        <f>Appliances!D13</f>
        <v>0</v>
      </c>
      <c r="F95" s="1231"/>
      <c r="G95" s="1206"/>
      <c r="H95" s="1269">
        <f>Appliances!C13</f>
        <v>0</v>
      </c>
      <c r="I95" s="1142"/>
      <c r="J95" s="1142"/>
      <c r="K95" s="1143"/>
      <c r="L95" s="226"/>
      <c r="AD95" s="12" t="s">
        <v>333</v>
      </c>
    </row>
    <row r="96" spans="1:12" ht="12.75">
      <c r="A96" s="226"/>
      <c r="B96" s="1250" t="s">
        <v>541</v>
      </c>
      <c r="C96" s="1251"/>
      <c r="D96" s="252" t="s">
        <v>542</v>
      </c>
      <c r="E96" s="1270">
        <f>'DHW Demand'!G8</f>
        <v>0</v>
      </c>
      <c r="F96" s="1231"/>
      <c r="G96" s="1206"/>
      <c r="H96" s="1271">
        <f>'DHW Demand'!G9</f>
        <v>1290</v>
      </c>
      <c r="I96" s="1272"/>
      <c r="J96" s="1272"/>
      <c r="K96" s="1273"/>
      <c r="L96" s="226"/>
    </row>
    <row r="97" spans="1:12" ht="12.75">
      <c r="A97" s="226"/>
      <c r="B97" s="1203" t="s">
        <v>543</v>
      </c>
      <c r="C97" s="1264"/>
      <c r="D97" s="252" t="s">
        <v>537</v>
      </c>
      <c r="E97" s="1265"/>
      <c r="F97" s="1266"/>
      <c r="G97" s="1267"/>
      <c r="H97" s="1135"/>
      <c r="I97" s="1136"/>
      <c r="J97" s="1136"/>
      <c r="K97" s="1137"/>
      <c r="L97" s="226"/>
    </row>
    <row r="98" spans="1:12" ht="12.75">
      <c r="A98" s="226"/>
      <c r="B98" s="1250" t="s">
        <v>538</v>
      </c>
      <c r="C98" s="1251"/>
      <c r="D98" s="252" t="s">
        <v>539</v>
      </c>
      <c r="E98" s="1268">
        <f>Appliances!D16+Appliances!D21</f>
        <v>0</v>
      </c>
      <c r="F98" s="1231"/>
      <c r="G98" s="1206"/>
      <c r="H98" s="1269">
        <f>Appliances!C16+Appliances!C21</f>
        <v>0</v>
      </c>
      <c r="I98" s="1142"/>
      <c r="J98" s="1142"/>
      <c r="K98" s="1143"/>
      <c r="L98" s="226"/>
    </row>
    <row r="99" spans="1:12" ht="12.75">
      <c r="A99" s="226"/>
      <c r="B99" s="1250" t="s">
        <v>541</v>
      </c>
      <c r="C99" s="1251"/>
      <c r="D99" s="252" t="s">
        <v>542</v>
      </c>
      <c r="E99" s="1205">
        <f>'DHW Demand'!G10</f>
        <v>0</v>
      </c>
      <c r="F99" s="1231"/>
      <c r="G99" s="1206"/>
      <c r="H99" s="1269">
        <f>'DHW Demand'!G11</f>
        <v>0</v>
      </c>
      <c r="I99" s="1274"/>
      <c r="J99" s="1274"/>
      <c r="K99" s="1275"/>
      <c r="L99" s="226"/>
    </row>
    <row r="100" spans="1:12" ht="12.75">
      <c r="A100" s="226"/>
      <c r="B100" s="1203" t="s">
        <v>544</v>
      </c>
      <c r="C100" s="1264"/>
      <c r="D100" s="252" t="s">
        <v>537</v>
      </c>
      <c r="E100" s="1138"/>
      <c r="F100" s="1139"/>
      <c r="G100" s="1140"/>
      <c r="H100" s="1135"/>
      <c r="I100" s="1136"/>
      <c r="J100" s="1136"/>
      <c r="K100" s="1137"/>
      <c r="L100" s="226"/>
    </row>
    <row r="101" spans="1:12" ht="12.75">
      <c r="A101" s="226"/>
      <c r="B101" s="1250" t="s">
        <v>219</v>
      </c>
      <c r="C101" s="1251"/>
      <c r="D101" s="252" t="s">
        <v>545</v>
      </c>
      <c r="E101" s="1138"/>
      <c r="F101" s="1139"/>
      <c r="G101" s="1140"/>
      <c r="H101" s="1141">
        <f>E101</f>
        <v>0</v>
      </c>
      <c r="I101" s="1142"/>
      <c r="J101" s="1142"/>
      <c r="K101" s="1143"/>
      <c r="L101" s="226"/>
    </row>
    <row r="102" spans="1:12" ht="12.75">
      <c r="A102" s="226"/>
      <c r="B102" s="1250" t="s">
        <v>538</v>
      </c>
      <c r="C102" s="1251"/>
      <c r="D102" s="252" t="s">
        <v>546</v>
      </c>
      <c r="E102" s="253"/>
      <c r="F102" s="254">
        <f>IF(E101="Electric",Appliances!D19+Appliances!D24,Appliances!K20)</f>
        <v>0</v>
      </c>
      <c r="G102" s="255" t="str">
        <f>IF(E101="Electric","kWh","therms")</f>
        <v>therms</v>
      </c>
      <c r="H102" s="256"/>
      <c r="I102" s="257">
        <f>F102</f>
        <v>0</v>
      </c>
      <c r="J102" s="257" t="str">
        <f>G102</f>
        <v>therms</v>
      </c>
      <c r="K102" s="258"/>
      <c r="L102" s="226"/>
    </row>
    <row r="103" spans="1:12" ht="12.75">
      <c r="A103" s="226"/>
      <c r="B103" s="1203" t="s">
        <v>547</v>
      </c>
      <c r="C103" s="1264"/>
      <c r="D103" s="252" t="s">
        <v>545</v>
      </c>
      <c r="E103" s="1138"/>
      <c r="F103" s="1139"/>
      <c r="G103" s="1140"/>
      <c r="H103" s="1141">
        <f>E103</f>
        <v>0</v>
      </c>
      <c r="I103" s="1142"/>
      <c r="J103" s="1142"/>
      <c r="K103" s="1143"/>
      <c r="L103" s="226"/>
    </row>
    <row r="104" spans="1:12" ht="12.75">
      <c r="A104" s="226"/>
      <c r="B104" s="1250" t="s">
        <v>538</v>
      </c>
      <c r="C104" s="1251"/>
      <c r="D104" s="252" t="s">
        <v>546</v>
      </c>
      <c r="E104" s="259"/>
      <c r="F104" s="260">
        <f>IF(E103="Electric",Appliances!D10,Appliances!K10)</f>
        <v>0</v>
      </c>
      <c r="G104" s="255" t="str">
        <f>IF(E103="Electric","kWh","therms")</f>
        <v>therms</v>
      </c>
      <c r="H104" s="256"/>
      <c r="I104" s="261">
        <f>F104</f>
        <v>0</v>
      </c>
      <c r="J104" s="261" t="str">
        <f>G104</f>
        <v>therms</v>
      </c>
      <c r="K104" s="258"/>
      <c r="L104" s="226"/>
    </row>
    <row r="105" spans="1:12" ht="12.75">
      <c r="A105" s="226"/>
      <c r="B105" s="1203" t="s">
        <v>548</v>
      </c>
      <c r="C105" s="1264"/>
      <c r="D105" s="252" t="s">
        <v>539</v>
      </c>
      <c r="E105" s="1157">
        <f>1.05*'Basic Info'!C15</f>
        <v>0</v>
      </c>
      <c r="F105" s="1158"/>
      <c r="G105" s="1159"/>
      <c r="H105" s="1282">
        <f>E105</f>
        <v>0</v>
      </c>
      <c r="I105" s="1283"/>
      <c r="J105" s="1283"/>
      <c r="K105" s="1284"/>
      <c r="L105" s="226"/>
    </row>
    <row r="106" spans="1:12" ht="12.75">
      <c r="A106" s="226"/>
      <c r="B106" s="1203" t="s">
        <v>549</v>
      </c>
      <c r="C106" s="1264"/>
      <c r="D106" s="252" t="s">
        <v>550</v>
      </c>
      <c r="E106" s="262"/>
      <c r="F106" s="263" t="e">
        <f>('Reporting Summary'!E104-'LEED for Homes Mid-Rise Form'!E105)/(I56+I58)</f>
        <v>#DIV/0!</v>
      </c>
      <c r="G106" s="264" t="s">
        <v>594</v>
      </c>
      <c r="H106" s="265"/>
      <c r="I106" s="266" t="e">
        <f>F106</f>
        <v>#DIV/0!</v>
      </c>
      <c r="J106" s="267" t="s">
        <v>594</v>
      </c>
      <c r="K106" s="268"/>
      <c r="L106" s="226"/>
    </row>
    <row r="107" spans="1:12" ht="12.75">
      <c r="A107" s="226"/>
      <c r="B107" s="1203" t="s">
        <v>551</v>
      </c>
      <c r="C107" s="1264"/>
      <c r="D107" s="252" t="s">
        <v>552</v>
      </c>
      <c r="E107" s="1138"/>
      <c r="F107" s="1139"/>
      <c r="G107" s="1140"/>
      <c r="H107" s="1135"/>
      <c r="I107" s="1136"/>
      <c r="J107" s="1136"/>
      <c r="K107" s="1137"/>
      <c r="L107" s="226"/>
    </row>
    <row r="108" spans="1:12" ht="12.75" customHeight="1">
      <c r="A108" s="226"/>
      <c r="B108" s="1250" t="s">
        <v>538</v>
      </c>
      <c r="C108" s="1251"/>
      <c r="D108" s="252" t="s">
        <v>539</v>
      </c>
      <c r="E108" s="1276" t="str">
        <f>Appliances!I31</f>
        <v>SG, Section 3.11</v>
      </c>
      <c r="F108" s="1277"/>
      <c r="G108" s="1278"/>
      <c r="H108" s="1279">
        <f>Appliances!I32</f>
        <v>0</v>
      </c>
      <c r="I108" s="1280"/>
      <c r="J108" s="1280"/>
      <c r="K108" s="1281"/>
      <c r="L108" s="226"/>
    </row>
    <row r="109" spans="1:12" ht="12.75">
      <c r="A109" s="226"/>
      <c r="B109" s="1252" t="s">
        <v>553</v>
      </c>
      <c r="C109" s="1253"/>
      <c r="D109" s="1253"/>
      <c r="E109" s="1253"/>
      <c r="F109" s="1253"/>
      <c r="G109" s="1253"/>
      <c r="H109" s="1253"/>
      <c r="I109" s="1253"/>
      <c r="J109" s="1253"/>
      <c r="K109" s="1254"/>
      <c r="L109" s="226"/>
    </row>
    <row r="110" spans="1:12" ht="12.75">
      <c r="A110" s="226"/>
      <c r="B110" s="1203" t="s">
        <v>451</v>
      </c>
      <c r="C110" s="1204"/>
      <c r="D110" s="252" t="s">
        <v>554</v>
      </c>
      <c r="E110" s="1265"/>
      <c r="F110" s="1266"/>
      <c r="G110" s="1267"/>
      <c r="H110" s="1135"/>
      <c r="I110" s="1136"/>
      <c r="J110" s="1136"/>
      <c r="K110" s="1137"/>
      <c r="L110" s="226"/>
    </row>
    <row r="111" spans="1:12" ht="12.75">
      <c r="A111" s="226"/>
      <c r="B111" s="1203" t="s">
        <v>452</v>
      </c>
      <c r="C111" s="1264"/>
      <c r="D111" s="252" t="s">
        <v>449</v>
      </c>
      <c r="E111" s="1205">
        <f>'Reporting Summary'!E71:G71</f>
        <v>0</v>
      </c>
      <c r="F111" s="1231"/>
      <c r="G111" s="1206"/>
      <c r="H111" s="1217">
        <f>'Reporting Summary'!H71:L71</f>
        <v>0</v>
      </c>
      <c r="I111" s="1218"/>
      <c r="J111" s="1218"/>
      <c r="K111" s="1219"/>
      <c r="L111" s="226"/>
    </row>
    <row r="112" spans="1:12" ht="12.75">
      <c r="A112" s="226"/>
      <c r="B112" s="1250" t="s">
        <v>555</v>
      </c>
      <c r="C112" s="1251"/>
      <c r="D112" s="252" t="s">
        <v>556</v>
      </c>
      <c r="E112" s="1265"/>
      <c r="F112" s="1266"/>
      <c r="G112" s="1267"/>
      <c r="H112" s="1135"/>
      <c r="I112" s="1136"/>
      <c r="J112" s="1136"/>
      <c r="K112" s="1137"/>
      <c r="L112" s="226"/>
    </row>
    <row r="113" spans="1:12" ht="12.75">
      <c r="A113" s="226"/>
      <c r="B113" s="1203" t="s">
        <v>557</v>
      </c>
      <c r="C113" s="1264"/>
      <c r="D113" s="252" t="s">
        <v>558</v>
      </c>
      <c r="E113" s="259"/>
      <c r="F113" s="260">
        <v>0.1</v>
      </c>
      <c r="G113" s="255" t="s">
        <v>603</v>
      </c>
      <c r="H113" s="256"/>
      <c r="I113" s="261">
        <v>0.1</v>
      </c>
      <c r="J113" s="261" t="s">
        <v>603</v>
      </c>
      <c r="K113" s="258"/>
      <c r="L113" s="226"/>
    </row>
    <row r="114" spans="1:12" ht="12.75">
      <c r="A114" s="226"/>
      <c r="B114" s="1203" t="s">
        <v>559</v>
      </c>
      <c r="C114" s="1264"/>
      <c r="D114" s="252" t="s">
        <v>348</v>
      </c>
      <c r="E114" s="1205">
        <f>'Infiltration&amp;Ventilation'!C16</f>
        <v>0</v>
      </c>
      <c r="F114" s="1231"/>
      <c r="G114" s="1206"/>
      <c r="H114" s="1141">
        <f>'Infiltration&amp;Ventilation'!D16</f>
        <v>0</v>
      </c>
      <c r="I114" s="1142"/>
      <c r="J114" s="1142"/>
      <c r="K114" s="1143"/>
      <c r="L114" s="226"/>
    </row>
    <row r="115" spans="1:12" ht="12.75">
      <c r="A115" s="226"/>
      <c r="B115" s="1203" t="s">
        <v>453</v>
      </c>
      <c r="C115" s="1264"/>
      <c r="D115" s="252" t="s">
        <v>560</v>
      </c>
      <c r="E115" s="259"/>
      <c r="F115" s="260">
        <f>'Reporting Summary'!F75</f>
        <v>0</v>
      </c>
      <c r="G115" s="255">
        <f>'Reporting Summary'!G75</f>
        <v>0</v>
      </c>
      <c r="H115" s="256"/>
      <c r="I115" s="261">
        <f>'Reporting Summary'!I75</f>
        <v>0</v>
      </c>
      <c r="J115" s="261">
        <f>'Reporting Summary'!J75</f>
        <v>0</v>
      </c>
      <c r="K115" s="258"/>
      <c r="L115" s="226"/>
    </row>
    <row r="116" spans="1:12" ht="12.75">
      <c r="A116" s="226"/>
      <c r="B116" s="1203" t="s">
        <v>455</v>
      </c>
      <c r="C116" s="1264"/>
      <c r="D116" s="252" t="s">
        <v>456</v>
      </c>
      <c r="E116" s="259"/>
      <c r="F116" s="260">
        <f>'Reporting Summary'!F76</f>
        <v>0</v>
      </c>
      <c r="G116" s="255">
        <f>'Reporting Summary'!G76</f>
        <v>0</v>
      </c>
      <c r="H116" s="256"/>
      <c r="I116" s="261">
        <f>'Reporting Summary'!I76</f>
        <v>0</v>
      </c>
      <c r="J116" s="261">
        <f>'Reporting Summary'!J76</f>
        <v>0</v>
      </c>
      <c r="K116" s="258"/>
      <c r="L116" s="226"/>
    </row>
    <row r="117" spans="1:12" ht="12.75" customHeight="1">
      <c r="A117" s="226"/>
      <c r="B117" s="1203" t="s">
        <v>561</v>
      </c>
      <c r="C117" s="1264"/>
      <c r="D117" s="252" t="s">
        <v>562</v>
      </c>
      <c r="E117" s="1138"/>
      <c r="F117" s="1139"/>
      <c r="G117" s="1140"/>
      <c r="H117" s="1135"/>
      <c r="I117" s="1136"/>
      <c r="J117" s="1136"/>
      <c r="K117" s="1137"/>
      <c r="L117" s="226"/>
    </row>
    <row r="118" spans="1:12" ht="12.75" customHeight="1">
      <c r="A118" s="226"/>
      <c r="B118" s="1203" t="s">
        <v>563</v>
      </c>
      <c r="C118" s="1264"/>
      <c r="D118" s="252" t="s">
        <v>564</v>
      </c>
      <c r="E118" s="1138"/>
      <c r="F118" s="1139"/>
      <c r="G118" s="1140"/>
      <c r="H118" s="1135"/>
      <c r="I118" s="1136"/>
      <c r="J118" s="1136"/>
      <c r="K118" s="1137"/>
      <c r="L118" s="226"/>
    </row>
    <row r="119" spans="1:12" ht="12.75">
      <c r="A119" s="226"/>
      <c r="B119" s="1203" t="s">
        <v>565</v>
      </c>
      <c r="C119" s="1264"/>
      <c r="D119" s="252" t="s">
        <v>348</v>
      </c>
      <c r="E119" s="1138"/>
      <c r="F119" s="1139"/>
      <c r="G119" s="1140"/>
      <c r="H119" s="1135"/>
      <c r="I119" s="1136"/>
      <c r="J119" s="1136"/>
      <c r="K119" s="1137"/>
      <c r="L119" s="226"/>
    </row>
    <row r="120" spans="1:12" ht="12.75" customHeight="1">
      <c r="A120" s="226"/>
      <c r="B120" s="1203" t="s">
        <v>457</v>
      </c>
      <c r="C120" s="1264"/>
      <c r="D120" s="252" t="s">
        <v>61</v>
      </c>
      <c r="E120" s="1205" t="str">
        <f>'Reporting Summary'!E77:G77</f>
        <v>0.0003 kW/CFM</v>
      </c>
      <c r="F120" s="1231"/>
      <c r="G120" s="1206"/>
      <c r="H120" s="1217">
        <f>'Reporting Summary'!H77:L77</f>
        <v>0</v>
      </c>
      <c r="I120" s="1218"/>
      <c r="J120" s="1218"/>
      <c r="K120" s="1219"/>
      <c r="L120" s="226"/>
    </row>
    <row r="121" spans="1:12" ht="12.75" customHeight="1">
      <c r="A121" s="226"/>
      <c r="B121" s="1203" t="s">
        <v>566</v>
      </c>
      <c r="C121" s="1264"/>
      <c r="D121" s="252" t="s">
        <v>567</v>
      </c>
      <c r="E121" s="1138"/>
      <c r="F121" s="1139"/>
      <c r="G121" s="1140"/>
      <c r="H121" s="1135"/>
      <c r="I121" s="1136"/>
      <c r="J121" s="1136"/>
      <c r="K121" s="1137"/>
      <c r="L121" s="226"/>
    </row>
    <row r="122" spans="1:12" ht="12.75" customHeight="1">
      <c r="A122" s="226"/>
      <c r="B122" s="1203" t="s">
        <v>568</v>
      </c>
      <c r="C122" s="1264"/>
      <c r="D122" s="252">
        <v>0.4</v>
      </c>
      <c r="E122" s="1261">
        <v>1</v>
      </c>
      <c r="F122" s="1262"/>
      <c r="G122" s="1263"/>
      <c r="H122" s="1258">
        <v>1</v>
      </c>
      <c r="I122" s="1259"/>
      <c r="J122" s="1259"/>
      <c r="K122" s="1260"/>
      <c r="L122" s="226"/>
    </row>
    <row r="123" spans="1:12" ht="12.75" customHeight="1">
      <c r="A123" s="226"/>
      <c r="B123" s="1252" t="s">
        <v>458</v>
      </c>
      <c r="C123" s="1253"/>
      <c r="D123" s="1253"/>
      <c r="E123" s="1253"/>
      <c r="F123" s="1253"/>
      <c r="G123" s="1253"/>
      <c r="H123" s="1253"/>
      <c r="I123" s="1253"/>
      <c r="J123" s="1253"/>
      <c r="K123" s="1254"/>
      <c r="L123" s="226"/>
    </row>
    <row r="124" spans="1:12" ht="12.75">
      <c r="A124" s="226"/>
      <c r="B124" s="1203" t="s">
        <v>459</v>
      </c>
      <c r="C124" s="1204"/>
      <c r="D124" s="252" t="s">
        <v>460</v>
      </c>
      <c r="E124" s="1288">
        <f>'Reporting Summary'!E79:G79</f>
        <v>0</v>
      </c>
      <c r="F124" s="1289"/>
      <c r="G124" s="1290"/>
      <c r="H124" s="1291">
        <f>'Reporting Summary'!H79:L79</f>
        <v>0</v>
      </c>
      <c r="I124" s="1292"/>
      <c r="J124" s="1292"/>
      <c r="K124" s="1293"/>
      <c r="L124" s="226"/>
    </row>
    <row r="125" spans="1:12" ht="12.75" customHeight="1">
      <c r="A125" s="226"/>
      <c r="B125" s="1203" t="s">
        <v>569</v>
      </c>
      <c r="C125" s="1264"/>
      <c r="D125" s="252" t="s">
        <v>570</v>
      </c>
      <c r="E125" s="1268" t="e">
        <f>'DHW Demand'!D10</f>
        <v>#N/A</v>
      </c>
      <c r="F125" s="1285"/>
      <c r="G125" s="1286"/>
      <c r="H125" s="1268" t="e">
        <f>'DHW Demand'!C10</f>
        <v>#N/A</v>
      </c>
      <c r="I125" s="1285"/>
      <c r="J125" s="1285"/>
      <c r="K125" s="1287"/>
      <c r="L125" s="226"/>
    </row>
    <row r="126" spans="1:12" ht="12.75">
      <c r="A126" s="226"/>
      <c r="B126" s="1203" t="s">
        <v>461</v>
      </c>
      <c r="C126" s="1264"/>
      <c r="D126" s="252" t="s">
        <v>78</v>
      </c>
      <c r="E126" s="1205" t="str">
        <f>'Reporting Summary'!E80:G80</f>
        <v>2.5 @ 80 psi; 2.2 @ 60 psi</v>
      </c>
      <c r="F126" s="1231"/>
      <c r="G126" s="1206"/>
      <c r="H126" s="1235">
        <f>'Reporting Summary'!H80:L80</f>
        <v>0</v>
      </c>
      <c r="I126" s="1231"/>
      <c r="J126" s="1231"/>
      <c r="K126" s="1199"/>
      <c r="L126" s="226"/>
    </row>
    <row r="127" spans="1:12" ht="12.75">
      <c r="A127" s="226"/>
      <c r="B127" s="1203" t="s">
        <v>146</v>
      </c>
      <c r="C127" s="1264"/>
      <c r="D127" s="252" t="s">
        <v>78</v>
      </c>
      <c r="E127" s="1205" t="str">
        <f>'Reporting Summary'!E82:G82</f>
        <v>2.5 @ 80 psi; 2.2 @ 60 psi</v>
      </c>
      <c r="F127" s="1231"/>
      <c r="G127" s="1206"/>
      <c r="H127" s="1235">
        <f>'Reporting Summary'!H82:L82</f>
        <v>0</v>
      </c>
      <c r="I127" s="1231"/>
      <c r="J127" s="1231"/>
      <c r="K127" s="1199"/>
      <c r="L127" s="226"/>
    </row>
    <row r="128" spans="1:12" ht="12.75">
      <c r="A128" s="226"/>
      <c r="B128" s="1203" t="s">
        <v>462</v>
      </c>
      <c r="C128" s="1264"/>
      <c r="D128" s="252" t="s">
        <v>463</v>
      </c>
      <c r="E128" s="262"/>
      <c r="F128" s="269"/>
      <c r="G128" s="264"/>
      <c r="H128" s="1276"/>
      <c r="I128" s="1277"/>
      <c r="J128" s="1277"/>
      <c r="K128" s="1295"/>
      <c r="L128" s="226"/>
    </row>
    <row r="129" spans="1:12" ht="12.75" customHeight="1">
      <c r="A129" s="226"/>
      <c r="B129" s="1252" t="s">
        <v>464</v>
      </c>
      <c r="C129" s="1253"/>
      <c r="D129" s="1253"/>
      <c r="E129" s="1253"/>
      <c r="F129" s="1253"/>
      <c r="G129" s="1253"/>
      <c r="H129" s="1253"/>
      <c r="I129" s="1253"/>
      <c r="J129" s="1253"/>
      <c r="K129" s="1254"/>
      <c r="L129" s="226"/>
    </row>
    <row r="130" spans="1:12" ht="12.75">
      <c r="A130" s="226"/>
      <c r="B130" s="1255" t="s">
        <v>465</v>
      </c>
      <c r="C130" s="1294"/>
      <c r="D130" s="270"/>
      <c r="E130" s="1241" t="str">
        <f>'Reporting Summary'!E85:G85</f>
        <v>None Installed</v>
      </c>
      <c r="F130" s="1242"/>
      <c r="G130" s="1243"/>
      <c r="H130" s="1247">
        <f>'Reporting Summary'!H85:L85</f>
        <v>0</v>
      </c>
      <c r="I130" s="1248"/>
      <c r="J130" s="1248"/>
      <c r="K130" s="1249"/>
      <c r="L130" s="226"/>
    </row>
    <row r="131" spans="1:12" ht="12.75">
      <c r="A131" s="226"/>
      <c r="B131" s="1299" t="s">
        <v>466</v>
      </c>
      <c r="C131" s="1300"/>
      <c r="D131" s="271" t="s">
        <v>61</v>
      </c>
      <c r="E131" s="1276">
        <f>'Reporting Summary'!E86:G86</f>
        <v>0</v>
      </c>
      <c r="F131" s="1277"/>
      <c r="G131" s="1278"/>
      <c r="H131" s="1301">
        <f>'Reporting Summary'!H86:L86</f>
        <v>0</v>
      </c>
      <c r="I131" s="1302"/>
      <c r="J131" s="1302"/>
      <c r="K131" s="1303"/>
      <c r="L131" s="226"/>
    </row>
    <row r="132" spans="1:12" ht="12.75" customHeight="1">
      <c r="A132" s="226"/>
      <c r="B132" s="1304" t="s">
        <v>299</v>
      </c>
      <c r="C132" s="1305"/>
      <c r="D132" s="1305"/>
      <c r="E132" s="1305"/>
      <c r="F132" s="1305"/>
      <c r="G132" s="1305"/>
      <c r="H132" s="1305"/>
      <c r="I132" s="1305"/>
      <c r="J132" s="1305"/>
      <c r="K132" s="1306"/>
      <c r="L132" s="226"/>
    </row>
    <row r="133" spans="1:12" ht="12.75">
      <c r="A133" s="226"/>
      <c r="B133" s="1203"/>
      <c r="C133" s="1204"/>
      <c r="D133" s="252"/>
      <c r="E133" s="1205">
        <f>'Reporting Summary'!E88:G88</f>
        <v>0</v>
      </c>
      <c r="F133" s="1231"/>
      <c r="G133" s="1206"/>
      <c r="H133" s="1247">
        <f>'Reporting Summary'!H88:L88</f>
        <v>0</v>
      </c>
      <c r="I133" s="1248"/>
      <c r="J133" s="1248"/>
      <c r="K133" s="1249"/>
      <c r="L133" s="226"/>
    </row>
    <row r="134" spans="1:12" ht="12.75">
      <c r="A134" s="226"/>
      <c r="B134" s="272"/>
      <c r="C134" s="273"/>
      <c r="D134" s="252"/>
      <c r="E134" s="1205">
        <f>'Reporting Summary'!E89:G89</f>
        <v>0</v>
      </c>
      <c r="F134" s="1231"/>
      <c r="G134" s="1206"/>
      <c r="H134" s="1141">
        <f>'Reporting Summary'!H89:L89</f>
        <v>0</v>
      </c>
      <c r="I134" s="1142"/>
      <c r="J134" s="1142"/>
      <c r="K134" s="1143"/>
      <c r="L134" s="226"/>
    </row>
    <row r="135" spans="1:12" ht="13.5" thickBot="1">
      <c r="A135" s="226"/>
      <c r="B135" s="1296"/>
      <c r="C135" s="1297"/>
      <c r="D135" s="274"/>
      <c r="E135" s="1209">
        <f>'Reporting Summary'!E90:G90</f>
        <v>0</v>
      </c>
      <c r="F135" s="1298"/>
      <c r="G135" s="1210"/>
      <c r="H135" s="1150">
        <f>'Reporting Summary'!H90:L90</f>
        <v>0</v>
      </c>
      <c r="I135" s="1151"/>
      <c r="J135" s="1151"/>
      <c r="K135" s="1152"/>
      <c r="L135" s="226"/>
    </row>
    <row r="136" spans="1:12" ht="12.75">
      <c r="A136" s="226"/>
      <c r="B136" s="226"/>
      <c r="C136" s="226"/>
      <c r="D136" s="226"/>
      <c r="E136" s="226"/>
      <c r="F136" s="226"/>
      <c r="G136" s="226"/>
      <c r="H136" s="226"/>
      <c r="I136" s="226"/>
      <c r="J136" s="226"/>
      <c r="K136" s="226"/>
      <c r="L136" s="226"/>
    </row>
    <row r="137" spans="1:12" ht="12.75">
      <c r="A137" s="226"/>
      <c r="B137" s="226"/>
      <c r="C137" s="226"/>
      <c r="D137" s="226"/>
      <c r="E137" s="226"/>
      <c r="F137" s="226"/>
      <c r="G137" s="226"/>
      <c r="H137" s="226"/>
      <c r="I137" s="226"/>
      <c r="J137" s="226"/>
      <c r="K137" s="226"/>
      <c r="L137" s="226"/>
    </row>
    <row r="138" spans="1:12" ht="15.75" hidden="1" thickBot="1">
      <c r="A138" s="226"/>
      <c r="B138" s="226"/>
      <c r="C138" s="234" t="s">
        <v>606</v>
      </c>
      <c r="D138" s="226"/>
      <c r="E138" s="226"/>
      <c r="F138" s="226"/>
      <c r="G138" s="226"/>
      <c r="H138" s="226"/>
      <c r="I138" s="226"/>
      <c r="J138" s="226"/>
      <c r="K138" s="226"/>
      <c r="L138" s="226"/>
    </row>
    <row r="139" spans="1:12" ht="42" customHeight="1" hidden="1">
      <c r="A139" s="226"/>
      <c r="B139" s="226"/>
      <c r="C139" s="275" t="s">
        <v>467</v>
      </c>
      <c r="D139" s="276"/>
      <c r="E139" s="251" t="s">
        <v>82</v>
      </c>
      <c r="F139" s="277" t="s">
        <v>571</v>
      </c>
      <c r="G139" s="277" t="s">
        <v>572</v>
      </c>
      <c r="H139" s="277" t="s">
        <v>573</v>
      </c>
      <c r="I139" s="251" t="s">
        <v>574</v>
      </c>
      <c r="J139" s="278" t="s">
        <v>335</v>
      </c>
      <c r="K139" s="226"/>
      <c r="L139" s="226"/>
    </row>
    <row r="140" spans="1:12" ht="12.75" customHeight="1" hidden="1">
      <c r="A140" s="226"/>
      <c r="B140" s="226"/>
      <c r="C140" s="1307" t="s">
        <v>21</v>
      </c>
      <c r="D140" s="1308"/>
      <c r="E140" s="1308"/>
      <c r="F140" s="1308"/>
      <c r="G140" s="1308"/>
      <c r="H140" s="1308"/>
      <c r="I140" s="1308"/>
      <c r="J140" s="1309"/>
      <c r="K140" s="226"/>
      <c r="L140" s="226"/>
    </row>
    <row r="141" spans="1:12" ht="12.75" hidden="1">
      <c r="A141" s="226"/>
      <c r="B141" s="226"/>
      <c r="C141" s="1203" t="s">
        <v>22</v>
      </c>
      <c r="D141" s="1204"/>
      <c r="E141" s="279" t="s">
        <v>60</v>
      </c>
      <c r="F141" s="280">
        <f>'Results from eQUEST'!S13</f>
        <v>0</v>
      </c>
      <c r="G141" s="280">
        <f>'Results from eQUEST'!S14</f>
        <v>0</v>
      </c>
      <c r="H141" s="280">
        <f>'Results from eQUEST'!S15</f>
        <v>0</v>
      </c>
      <c r="I141" s="281">
        <f>'Results from eQUEST'!S16</f>
        <v>0</v>
      </c>
      <c r="J141" s="281" t="e">
        <f>'Results from eQUEST'!S17</f>
        <v>#DIV/0!</v>
      </c>
      <c r="K141" s="226"/>
      <c r="L141" s="226"/>
    </row>
    <row r="142" spans="1:12" ht="12.75" hidden="1">
      <c r="A142" s="226"/>
      <c r="B142" s="226"/>
      <c r="C142" s="1203" t="s">
        <v>23</v>
      </c>
      <c r="D142" s="1204"/>
      <c r="E142" s="279" t="s">
        <v>60</v>
      </c>
      <c r="F142" s="280">
        <f>'Results from eQUEST'!O13+'Results from eQUEST'!U13</f>
        <v>0</v>
      </c>
      <c r="G142" s="283">
        <f>'Results from eQUEST'!O14+'Results from eQUEST'!U14</f>
        <v>0</v>
      </c>
      <c r="H142" s="283">
        <f>'Results from eQUEST'!O15+'Results from eQUEST'!U15</f>
        <v>0</v>
      </c>
      <c r="I142" s="283">
        <f>'Results from eQUEST'!O16+'Results from eQUEST'!U16</f>
        <v>0</v>
      </c>
      <c r="J142" s="283" t="e">
        <f>'Results from eQUEST'!O17+'Results from eQUEST'!U17</f>
        <v>#DIV/0!</v>
      </c>
      <c r="K142" s="226"/>
      <c r="L142" s="226"/>
    </row>
    <row r="143" spans="1:12" ht="12.75" hidden="1">
      <c r="A143" s="226"/>
      <c r="B143" s="226"/>
      <c r="C143" s="1203" t="s">
        <v>24</v>
      </c>
      <c r="D143" s="1204"/>
      <c r="E143" s="279" t="s">
        <v>60</v>
      </c>
      <c r="F143" s="280">
        <f>'Results from eQUEST'!P13+'Results from eQUEST'!Q13</f>
        <v>0</v>
      </c>
      <c r="G143" s="283">
        <f>'Results from eQUEST'!P14+'Results from eQUEST'!Q14</f>
        <v>0</v>
      </c>
      <c r="H143" s="283">
        <f>'Results from eQUEST'!P15+'Results from eQUEST'!Q15</f>
        <v>0</v>
      </c>
      <c r="I143" s="283">
        <f>'Results from eQUEST'!P16+'Results from eQUEST'!Q16</f>
        <v>0</v>
      </c>
      <c r="J143" s="283" t="e">
        <f>'Results from eQUEST'!P17+'Results from eQUEST'!Q17</f>
        <v>#DIV/0!</v>
      </c>
      <c r="K143" s="226"/>
      <c r="L143" s="226"/>
    </row>
    <row r="144" spans="1:12" ht="12.75" hidden="1">
      <c r="A144" s="226"/>
      <c r="B144" s="226"/>
      <c r="C144" s="1203" t="s">
        <v>25</v>
      </c>
      <c r="D144" s="1204"/>
      <c r="E144" s="279" t="s">
        <v>60</v>
      </c>
      <c r="F144" s="280">
        <f>'Results from eQUEST'!V13</f>
        <v>0</v>
      </c>
      <c r="G144" s="283">
        <f>'Results from eQUEST'!V14</f>
        <v>0</v>
      </c>
      <c r="H144" s="283">
        <f>'Results from eQUEST'!V15</f>
        <v>0</v>
      </c>
      <c r="I144" s="283">
        <f>'Results from eQUEST'!V16</f>
        <v>0</v>
      </c>
      <c r="J144" s="283" t="e">
        <f>'Results from eQUEST'!V17</f>
        <v>#DIV/0!</v>
      </c>
      <c r="K144" s="226"/>
      <c r="L144" s="226"/>
    </row>
    <row r="145" spans="1:12" ht="12.75" hidden="1">
      <c r="A145" s="226"/>
      <c r="B145" s="226"/>
      <c r="C145" s="1203" t="s">
        <v>26</v>
      </c>
      <c r="D145" s="1204"/>
      <c r="E145" s="279" t="s">
        <v>60</v>
      </c>
      <c r="F145" s="285" t="e">
        <f>'Results from eQUEST'!L13+'Results from eQUEST'!M13-F146</f>
        <v>#N/A</v>
      </c>
      <c r="G145" s="285" t="e">
        <f>'Results from eQUEST'!L14+'Results from eQUEST'!M14-G146</f>
        <v>#N/A</v>
      </c>
      <c r="H145" s="285" t="e">
        <f>'Results from eQUEST'!L15+'Results from eQUEST'!M15-H146</f>
        <v>#N/A</v>
      </c>
      <c r="I145" s="286" t="e">
        <f>'Results from eQUEST'!L16+'Results from eQUEST'!M16-I146</f>
        <v>#N/A</v>
      </c>
      <c r="J145" s="286" t="e">
        <f>'Results from eQUEST'!L17+'Results from eQUEST'!M17-J146</f>
        <v>#DIV/0!</v>
      </c>
      <c r="K145" s="226"/>
      <c r="L145" s="226"/>
    </row>
    <row r="146" spans="1:12" ht="12.75" hidden="1">
      <c r="A146" s="226"/>
      <c r="B146" s="226"/>
      <c r="C146" s="1203" t="s">
        <v>446</v>
      </c>
      <c r="D146" s="1204"/>
      <c r="E146" s="279" t="s">
        <v>60</v>
      </c>
      <c r="F146" s="285" t="e">
        <f>'Reporting Summary'!E100</f>
        <v>#N/A</v>
      </c>
      <c r="G146" s="286" t="e">
        <f>F146</f>
        <v>#N/A</v>
      </c>
      <c r="H146" s="286" t="e">
        <f>F146</f>
        <v>#N/A</v>
      </c>
      <c r="I146" s="286" t="e">
        <f>F146</f>
        <v>#N/A</v>
      </c>
      <c r="J146" s="286" t="e">
        <f>F146</f>
        <v>#N/A</v>
      </c>
      <c r="K146" s="226"/>
      <c r="L146" s="226"/>
    </row>
    <row r="147" spans="1:12" ht="12.75" hidden="1">
      <c r="A147" s="226"/>
      <c r="B147" s="226"/>
      <c r="C147" s="1203" t="s">
        <v>83</v>
      </c>
      <c r="D147" s="1204"/>
      <c r="E147" s="279" t="s">
        <v>60</v>
      </c>
      <c r="F147" s="285" t="e">
        <f>'Results from eQUEST'!N13+'Results from eQUEST'!T13-F148-Appliances!I31</f>
        <v>#VALUE!</v>
      </c>
      <c r="G147" s="286" t="e">
        <f>'Results from eQUEST'!N14+'Results from eQUEST'!T14-G148-Appliances!I31</f>
        <v>#VALUE!</v>
      </c>
      <c r="H147" s="286" t="e">
        <f>'Results from eQUEST'!N15+'Results from eQUEST'!T15-H148-Appliances!I31</f>
        <v>#VALUE!</v>
      </c>
      <c r="I147" s="286" t="e">
        <f>'Results from eQUEST'!N16+'Results from eQUEST'!T16-I148-Appliances!I31</f>
        <v>#VALUE!</v>
      </c>
      <c r="J147" s="286" t="e">
        <f>'Results from eQUEST'!N17+'Results from eQUEST'!T17-J148-Appliances!I31</f>
        <v>#DIV/0!</v>
      </c>
      <c r="K147" s="226"/>
      <c r="L147" s="226"/>
    </row>
    <row r="148" spans="1:12" ht="12.75" hidden="1">
      <c r="A148" s="226"/>
      <c r="B148" s="226"/>
      <c r="C148" s="1203" t="s">
        <v>28</v>
      </c>
      <c r="D148" s="1204"/>
      <c r="E148" s="279" t="s">
        <v>60</v>
      </c>
      <c r="F148" s="285">
        <f>'Reporting Summary'!E104</f>
        <v>0</v>
      </c>
      <c r="G148" s="286">
        <f>F148</f>
        <v>0</v>
      </c>
      <c r="H148" s="286">
        <f>F148</f>
        <v>0</v>
      </c>
      <c r="I148" s="286">
        <f>F148</f>
        <v>0</v>
      </c>
      <c r="J148" s="282">
        <f>F148</f>
        <v>0</v>
      </c>
      <c r="K148" s="226"/>
      <c r="L148" s="226"/>
    </row>
    <row r="149" spans="1:12" ht="12.75" hidden="1">
      <c r="A149" s="226"/>
      <c r="B149" s="226"/>
      <c r="C149" s="1203" t="s">
        <v>27</v>
      </c>
      <c r="D149" s="1204"/>
      <c r="E149" s="279" t="s">
        <v>60</v>
      </c>
      <c r="F149" s="287" t="e">
        <f>'Results from eQUEST'!W13+Appliances!I31+'Results from eQUEST'!R13</f>
        <v>#VALUE!</v>
      </c>
      <c r="G149" s="288" t="e">
        <f>'Results from eQUEST'!W14+Appliances!I31+'Results from eQUEST'!R14</f>
        <v>#VALUE!</v>
      </c>
      <c r="H149" s="288" t="e">
        <f>'Results from eQUEST'!W15+Appliances!I31+'Results from eQUEST'!R15</f>
        <v>#VALUE!</v>
      </c>
      <c r="I149" s="288" t="e">
        <f>'Results from eQUEST'!W16+Appliances!I31+'Results from eQUEST'!R16</f>
        <v>#VALUE!</v>
      </c>
      <c r="J149" s="288" t="e">
        <f>'Results from eQUEST'!W17+Appliances!I31+'Results from eQUEST'!R17</f>
        <v>#DIV/0!</v>
      </c>
      <c r="K149" s="226"/>
      <c r="L149" s="226"/>
    </row>
    <row r="150" spans="1:12" ht="12.75" customHeight="1" hidden="1">
      <c r="A150" s="226"/>
      <c r="B150" s="226"/>
      <c r="C150" s="1307" t="s">
        <v>29</v>
      </c>
      <c r="D150" s="1310"/>
      <c r="E150" s="1310"/>
      <c r="F150" s="1311"/>
      <c r="G150" s="1311"/>
      <c r="H150" s="1311"/>
      <c r="I150" s="1311"/>
      <c r="J150" s="1312"/>
      <c r="K150" s="226"/>
      <c r="L150" s="226"/>
    </row>
    <row r="151" spans="1:12" ht="12.75" hidden="1">
      <c r="A151" s="226"/>
      <c r="B151" s="226"/>
      <c r="C151" s="1203" t="s">
        <v>23</v>
      </c>
      <c r="D151" s="1264"/>
      <c r="E151" s="289" t="s">
        <v>525</v>
      </c>
      <c r="F151" s="290">
        <f>('Results from eQUEST'!BA13+'Results from eQUEST'!BG13)/10</f>
        <v>0</v>
      </c>
      <c r="G151" s="281">
        <f>('Results from eQUEST'!BA14+'Results from eQUEST'!BG14)/10</f>
        <v>0</v>
      </c>
      <c r="H151" s="281">
        <f>('Results from eQUEST'!BA15+'Results from eQUEST'!BG15)/10</f>
        <v>0</v>
      </c>
      <c r="I151" s="291">
        <f>('Results from eQUEST'!BA16+'Results from eQUEST'!BG16)/10</f>
        <v>0</v>
      </c>
      <c r="J151" s="291" t="e">
        <f>('Results from eQUEST'!BA17+'Results from eQUEST'!BG17)/10</f>
        <v>#DIV/0!</v>
      </c>
      <c r="K151" s="226"/>
      <c r="L151" s="226"/>
    </row>
    <row r="152" spans="1:12" ht="12.75" customHeight="1" hidden="1">
      <c r="A152" s="226"/>
      <c r="B152" s="226"/>
      <c r="C152" s="1203" t="s">
        <v>25</v>
      </c>
      <c r="D152" s="1204"/>
      <c r="E152" s="292" t="s">
        <v>525</v>
      </c>
      <c r="F152" s="280">
        <f>'Results from eQUEST'!BH13/10</f>
        <v>0</v>
      </c>
      <c r="G152" s="283">
        <f>'Results from eQUEST'!BH14/10</f>
        <v>0</v>
      </c>
      <c r="H152" s="283">
        <f>'Results from eQUEST'!BH15/10</f>
        <v>0</v>
      </c>
      <c r="I152" s="293">
        <f>'Results from eQUEST'!BH16/10</f>
        <v>0</v>
      </c>
      <c r="J152" s="293" t="e">
        <f>'Results from eQUEST'!BH17/10</f>
        <v>#DIV/0!</v>
      </c>
      <c r="K152" s="226"/>
      <c r="L152" s="226"/>
    </row>
    <row r="153" spans="1:12" ht="12.75" hidden="1">
      <c r="A153" s="226"/>
      <c r="B153" s="226"/>
      <c r="C153" s="1203" t="s">
        <v>83</v>
      </c>
      <c r="D153" s="1204"/>
      <c r="E153" s="294" t="s">
        <v>525</v>
      </c>
      <c r="F153" s="287">
        <f>('Results from eQUEST'!AZ13+'Results from eQUEST'!BF13)/10</f>
        <v>0</v>
      </c>
      <c r="G153" s="288">
        <f>('Results from eQUEST'!AZ14+'Results from eQUEST'!BF14)/10</f>
        <v>0</v>
      </c>
      <c r="H153" s="288">
        <f>('Results from eQUEST'!AZ15+'Results from eQUEST'!BF15)/10</f>
        <v>0</v>
      </c>
      <c r="I153" s="295">
        <f>('Results from eQUEST'!AZ16+'Results from eQUEST'!BF16)/10</f>
        <v>0</v>
      </c>
      <c r="J153" s="295" t="e">
        <f>('Results from eQUEST'!AZ17+'Results from eQUEST'!BF17)/10</f>
        <v>#DIV/0!</v>
      </c>
      <c r="K153" s="226"/>
      <c r="L153" s="226"/>
    </row>
    <row r="154" spans="1:12" ht="12.75" customHeight="1" hidden="1">
      <c r="A154" s="226"/>
      <c r="B154" s="226"/>
      <c r="C154" s="1307" t="s">
        <v>30</v>
      </c>
      <c r="D154" s="1308"/>
      <c r="E154" s="1313"/>
      <c r="F154" s="1308"/>
      <c r="G154" s="1308"/>
      <c r="H154" s="1308"/>
      <c r="I154" s="1308"/>
      <c r="J154" s="1309"/>
      <c r="K154" s="226"/>
      <c r="L154" s="226"/>
    </row>
    <row r="155" spans="1:12" ht="12.75" hidden="1">
      <c r="A155" s="226"/>
      <c r="B155" s="226"/>
      <c r="C155" s="1203" t="s">
        <v>23</v>
      </c>
      <c r="D155" s="1264"/>
      <c r="E155" s="289" t="s">
        <v>525</v>
      </c>
      <c r="F155" s="296">
        <v>0</v>
      </c>
      <c r="G155" s="297">
        <v>0</v>
      </c>
      <c r="H155" s="297">
        <v>0</v>
      </c>
      <c r="I155" s="298">
        <v>0</v>
      </c>
      <c r="J155" s="299">
        <f>IF(COUNT(F155:I155)=0,"",AVERAGE(F155:I155))</f>
        <v>0</v>
      </c>
      <c r="K155" s="226"/>
      <c r="L155" s="226"/>
    </row>
    <row r="156" spans="1:12" ht="12.75" customHeight="1" hidden="1">
      <c r="A156" s="226"/>
      <c r="B156" s="226"/>
      <c r="C156" s="1203" t="s">
        <v>25</v>
      </c>
      <c r="D156" s="1204"/>
      <c r="E156" s="292" t="s">
        <v>525</v>
      </c>
      <c r="F156" s="300">
        <v>0</v>
      </c>
      <c r="G156" s="301">
        <v>0</v>
      </c>
      <c r="H156" s="301">
        <v>0</v>
      </c>
      <c r="I156" s="302">
        <v>0</v>
      </c>
      <c r="J156" s="299">
        <f>IF(COUNT(F156:I156)=0,"",AVERAGE(F156:I156))</f>
        <v>0</v>
      </c>
      <c r="K156" s="226"/>
      <c r="L156" s="226"/>
    </row>
    <row r="157" spans="1:12" ht="12.75" customHeight="1" hidden="1">
      <c r="A157" s="226"/>
      <c r="B157" s="226"/>
      <c r="C157" s="1307" t="s">
        <v>31</v>
      </c>
      <c r="D157" s="1308"/>
      <c r="E157" s="1308"/>
      <c r="F157" s="1308"/>
      <c r="G157" s="1308"/>
      <c r="H157" s="1308"/>
      <c r="I157" s="1308"/>
      <c r="J157" s="1309"/>
      <c r="K157" s="226"/>
      <c r="L157" s="226"/>
    </row>
    <row r="158" spans="1:12" ht="12.75" hidden="1">
      <c r="A158" s="226"/>
      <c r="B158" s="226"/>
      <c r="C158" s="1314" t="s">
        <v>21</v>
      </c>
      <c r="D158" s="1315"/>
      <c r="E158" s="289" t="s">
        <v>60</v>
      </c>
      <c r="F158" s="290" t="e">
        <f>SUM(F141:F149)</f>
        <v>#N/A</v>
      </c>
      <c r="G158" s="281" t="e">
        <f>SUM(G141:G149)</f>
        <v>#N/A</v>
      </c>
      <c r="H158" s="281" t="e">
        <f>SUM(H141:H149)</f>
        <v>#N/A</v>
      </c>
      <c r="I158" s="281" t="e">
        <f>SUM(I141:I149)</f>
        <v>#N/A</v>
      </c>
      <c r="J158" s="282">
        <f>IF(COUNT(F158:I158)=0,"",AVERAGE(F158:I158))</f>
      </c>
      <c r="K158" s="226"/>
      <c r="L158" s="226"/>
    </row>
    <row r="159" spans="1:12" ht="12.75" hidden="1">
      <c r="A159" s="226"/>
      <c r="B159" s="226"/>
      <c r="C159" s="1314" t="s">
        <v>29</v>
      </c>
      <c r="D159" s="1315"/>
      <c r="E159" s="292" t="s">
        <v>525</v>
      </c>
      <c r="F159" s="280">
        <f>SUM(F151:F153)</f>
        <v>0</v>
      </c>
      <c r="G159" s="280">
        <f>SUM(G151:G153)</f>
        <v>0</v>
      </c>
      <c r="H159" s="280">
        <f>SUM(H151:H153)</f>
        <v>0</v>
      </c>
      <c r="I159" s="283">
        <f>SUM(I151:I153)</f>
        <v>0</v>
      </c>
      <c r="J159" s="284">
        <f>IF(COUNT(F159:I159)=0,"",AVERAGE(F159:I159))</f>
        <v>0</v>
      </c>
      <c r="K159" s="226"/>
      <c r="L159" s="226"/>
    </row>
    <row r="160" spans="1:12" ht="13.5" hidden="1" thickBot="1">
      <c r="A160" s="226"/>
      <c r="B160" s="226"/>
      <c r="C160" s="1316" t="s">
        <v>32</v>
      </c>
      <c r="D160" s="1317"/>
      <c r="E160" s="303" t="s">
        <v>525</v>
      </c>
      <c r="F160" s="304">
        <f>SUM(F155:F156)</f>
        <v>0</v>
      </c>
      <c r="G160" s="304">
        <f>SUM(G155:G156)</f>
        <v>0</v>
      </c>
      <c r="H160" s="304">
        <f>SUM(H155:H156)</f>
        <v>0</v>
      </c>
      <c r="I160" s="305">
        <f>SUM(I155:I156)</f>
        <v>0</v>
      </c>
      <c r="J160" s="306">
        <f>IF(COUNT(F160:I160)=0,"",AVERAGE(F160:I160))</f>
        <v>0</v>
      </c>
      <c r="K160" s="226"/>
      <c r="L160" s="226"/>
    </row>
    <row r="161" spans="1:12" ht="12.75" hidden="1">
      <c r="A161" s="226"/>
      <c r="B161" s="226"/>
      <c r="C161" s="226"/>
      <c r="D161" s="226"/>
      <c r="E161" s="226"/>
      <c r="F161" s="226"/>
      <c r="G161" s="226"/>
      <c r="H161" s="226"/>
      <c r="I161" s="226"/>
      <c r="J161" s="226"/>
      <c r="K161" s="226"/>
      <c r="L161" s="226"/>
    </row>
    <row r="162" spans="1:12" ht="15.75" thickBot="1">
      <c r="A162" s="226"/>
      <c r="B162" s="226"/>
      <c r="C162" s="234" t="s">
        <v>633</v>
      </c>
      <c r="D162" s="226"/>
      <c r="E162" s="226"/>
      <c r="F162" s="226"/>
      <c r="G162" s="226"/>
      <c r="H162" s="226"/>
      <c r="I162" s="226"/>
      <c r="J162" s="226"/>
      <c r="K162" s="226"/>
      <c r="L162" s="226"/>
    </row>
    <row r="163" spans="1:12" ht="42" customHeight="1">
      <c r="A163" s="226"/>
      <c r="B163" s="226"/>
      <c r="C163" s="275" t="s">
        <v>467</v>
      </c>
      <c r="D163" s="276"/>
      <c r="E163" s="251" t="s">
        <v>82</v>
      </c>
      <c r="F163" s="1224" t="s">
        <v>18</v>
      </c>
      <c r="G163" s="1223"/>
      <c r="H163" s="1224" t="s">
        <v>19</v>
      </c>
      <c r="I163" s="1225"/>
      <c r="J163" s="278" t="s">
        <v>20</v>
      </c>
      <c r="K163" s="226"/>
      <c r="L163" s="226"/>
    </row>
    <row r="164" spans="1:12" ht="12.75" customHeight="1">
      <c r="A164" s="226"/>
      <c r="B164" s="226"/>
      <c r="C164" s="1307" t="s">
        <v>21</v>
      </c>
      <c r="D164" s="1308"/>
      <c r="E164" s="1318"/>
      <c r="F164" s="1308"/>
      <c r="G164" s="1308"/>
      <c r="H164" s="1308"/>
      <c r="I164" s="1308"/>
      <c r="J164" s="1309"/>
      <c r="K164" s="226"/>
      <c r="L164" s="226"/>
    </row>
    <row r="165" spans="1:12" ht="12.75">
      <c r="A165" s="226"/>
      <c r="B165" s="226"/>
      <c r="C165" s="1203" t="s">
        <v>22</v>
      </c>
      <c r="D165" s="1204"/>
      <c r="E165" s="289" t="s">
        <v>60</v>
      </c>
      <c r="F165" s="1268" t="e">
        <f aca="true" t="shared" si="0" ref="F165:F171">J141</f>
        <v>#DIV/0!</v>
      </c>
      <c r="G165" s="1286"/>
      <c r="H165" s="1268">
        <f>'Results from eQUEST'!S19</f>
        <v>0</v>
      </c>
      <c r="I165" s="1286"/>
      <c r="J165" s="307" t="e">
        <f>IF(F165&gt;0,(F165-H165)/F165,"NA")</f>
        <v>#DIV/0!</v>
      </c>
      <c r="K165" s="226"/>
      <c r="L165" s="226"/>
    </row>
    <row r="166" spans="1:12" ht="12.75">
      <c r="A166" s="226"/>
      <c r="B166" s="226"/>
      <c r="C166" s="1203" t="s">
        <v>23</v>
      </c>
      <c r="D166" s="1204"/>
      <c r="E166" s="292" t="s">
        <v>60</v>
      </c>
      <c r="F166" s="1268" t="e">
        <f t="shared" si="0"/>
        <v>#DIV/0!</v>
      </c>
      <c r="G166" s="1286"/>
      <c r="H166" s="1268">
        <f>'Results from eQUEST'!O19+'Results from eQUEST'!U19</f>
        <v>0</v>
      </c>
      <c r="I166" s="1286"/>
      <c r="J166" s="308" t="e">
        <f aca="true" t="shared" si="1" ref="J166:J184">IF(F166&gt;0,(F166-H166)/F166,"NA")</f>
        <v>#DIV/0!</v>
      </c>
      <c r="K166" s="226"/>
      <c r="L166" s="226"/>
    </row>
    <row r="167" spans="1:12" ht="12.75">
      <c r="A167" s="226"/>
      <c r="B167" s="226"/>
      <c r="C167" s="1203" t="s">
        <v>24</v>
      </c>
      <c r="D167" s="1204"/>
      <c r="E167" s="292" t="s">
        <v>60</v>
      </c>
      <c r="F167" s="1268" t="e">
        <f t="shared" si="0"/>
        <v>#DIV/0!</v>
      </c>
      <c r="G167" s="1286"/>
      <c r="H167" s="1268">
        <f>'Results from eQUEST'!P19+'Results from eQUEST'!Q19</f>
        <v>0</v>
      </c>
      <c r="I167" s="1286"/>
      <c r="J167" s="308" t="e">
        <f t="shared" si="1"/>
        <v>#DIV/0!</v>
      </c>
      <c r="K167" s="226"/>
      <c r="L167" s="226"/>
    </row>
    <row r="168" spans="1:12" ht="12.75">
      <c r="A168" s="226"/>
      <c r="B168" s="226"/>
      <c r="C168" s="1203" t="s">
        <v>25</v>
      </c>
      <c r="D168" s="1204"/>
      <c r="E168" s="292" t="s">
        <v>60</v>
      </c>
      <c r="F168" s="1268" t="e">
        <f t="shared" si="0"/>
        <v>#DIV/0!</v>
      </c>
      <c r="G168" s="1286"/>
      <c r="H168" s="1268">
        <f>'Results from eQUEST'!V19</f>
        <v>0</v>
      </c>
      <c r="I168" s="1286"/>
      <c r="J168" s="308" t="e">
        <f t="shared" si="1"/>
        <v>#DIV/0!</v>
      </c>
      <c r="K168" s="226"/>
      <c r="L168" s="226"/>
    </row>
    <row r="169" spans="1:12" ht="12.75">
      <c r="A169" s="226"/>
      <c r="B169" s="226"/>
      <c r="C169" s="1203" t="s">
        <v>26</v>
      </c>
      <c r="D169" s="1204"/>
      <c r="E169" s="292" t="s">
        <v>60</v>
      </c>
      <c r="F169" s="1268" t="e">
        <f t="shared" si="0"/>
        <v>#DIV/0!</v>
      </c>
      <c r="G169" s="1286"/>
      <c r="H169" s="1268">
        <f>'Results from eQUEST'!L19+'Results from eQUEST'!M19-'LEED for Homes Mid-Rise Form'!H170:I170</f>
        <v>0</v>
      </c>
      <c r="I169" s="1286"/>
      <c r="J169" s="308" t="e">
        <f t="shared" si="1"/>
        <v>#DIV/0!</v>
      </c>
      <c r="K169" s="226"/>
      <c r="L169" s="226"/>
    </row>
    <row r="170" spans="1:12" ht="12.75">
      <c r="A170" s="226"/>
      <c r="B170" s="226"/>
      <c r="C170" s="1203" t="s">
        <v>446</v>
      </c>
      <c r="D170" s="1204"/>
      <c r="E170" s="292" t="s">
        <v>60</v>
      </c>
      <c r="F170" s="1268" t="e">
        <f t="shared" si="0"/>
        <v>#N/A</v>
      </c>
      <c r="G170" s="1286"/>
      <c r="H170" s="1268">
        <f>'Reporting Summary'!G100</f>
        <v>0</v>
      </c>
      <c r="I170" s="1286"/>
      <c r="J170" s="308" t="e">
        <f t="shared" si="1"/>
        <v>#N/A</v>
      </c>
      <c r="K170" s="226"/>
      <c r="L170" s="226"/>
    </row>
    <row r="171" spans="1:12" ht="12.75">
      <c r="A171" s="226"/>
      <c r="B171" s="226"/>
      <c r="C171" s="1203" t="s">
        <v>83</v>
      </c>
      <c r="D171" s="1204"/>
      <c r="E171" s="292" t="s">
        <v>60</v>
      </c>
      <c r="F171" s="1268" t="e">
        <f t="shared" si="0"/>
        <v>#DIV/0!</v>
      </c>
      <c r="G171" s="1286"/>
      <c r="H171" s="1268">
        <f>'Results from eQUEST'!N19+'Results from eQUEST'!T19-'LEED for Homes Mid-Rise Form'!H173:I173-Appliances!I32</f>
        <v>0</v>
      </c>
      <c r="I171" s="1286"/>
      <c r="J171" s="308" t="e">
        <f t="shared" si="1"/>
        <v>#DIV/0!</v>
      </c>
      <c r="K171" s="226"/>
      <c r="L171" s="226"/>
    </row>
    <row r="172" spans="1:12" ht="12.75">
      <c r="A172" s="226"/>
      <c r="B172" s="226"/>
      <c r="C172" s="1203" t="s">
        <v>27</v>
      </c>
      <c r="D172" s="1204"/>
      <c r="E172" s="292" t="s">
        <v>60</v>
      </c>
      <c r="F172" s="1268" t="e">
        <f>J149</f>
        <v>#DIV/0!</v>
      </c>
      <c r="G172" s="1286"/>
      <c r="H172" s="1268">
        <f>'Results from eQUEST'!W19+Appliances!I32+'Results from eQUEST'!R19</f>
        <v>0</v>
      </c>
      <c r="I172" s="1286"/>
      <c r="J172" s="308" t="e">
        <f t="shared" si="1"/>
        <v>#DIV/0!</v>
      </c>
      <c r="K172" s="226"/>
      <c r="L172" s="226"/>
    </row>
    <row r="173" spans="1:12" ht="12.75">
      <c r="A173" s="226"/>
      <c r="B173" s="226"/>
      <c r="C173" s="1203" t="s">
        <v>28</v>
      </c>
      <c r="D173" s="1204"/>
      <c r="E173" s="292" t="s">
        <v>60</v>
      </c>
      <c r="F173" s="1268">
        <f>J148</f>
        <v>0</v>
      </c>
      <c r="G173" s="1286"/>
      <c r="H173" s="1268">
        <f>F173</f>
        <v>0</v>
      </c>
      <c r="I173" s="1286"/>
      <c r="J173" s="309" t="str">
        <f t="shared" si="1"/>
        <v>NA</v>
      </c>
      <c r="K173" s="226"/>
      <c r="L173" s="226"/>
    </row>
    <row r="174" spans="1:12" ht="12.75" customHeight="1">
      <c r="A174" s="226"/>
      <c r="B174" s="226"/>
      <c r="C174" s="1307" t="s">
        <v>29</v>
      </c>
      <c r="D174" s="1310"/>
      <c r="E174" s="1310"/>
      <c r="F174" s="1310"/>
      <c r="G174" s="1310"/>
      <c r="H174" s="1310"/>
      <c r="I174" s="1310"/>
      <c r="J174" s="1319"/>
      <c r="K174" s="226"/>
      <c r="L174" s="226"/>
    </row>
    <row r="175" spans="1:12" ht="12.75">
      <c r="A175" s="226"/>
      <c r="B175" s="226"/>
      <c r="C175" s="1203" t="s">
        <v>23</v>
      </c>
      <c r="D175" s="1264"/>
      <c r="E175" s="289" t="s">
        <v>525</v>
      </c>
      <c r="F175" s="1268" t="e">
        <f>J151</f>
        <v>#DIV/0!</v>
      </c>
      <c r="G175" s="1286"/>
      <c r="H175" s="1268">
        <f>('Results from eQUEST'!BA19+'Results from eQUEST'!BG19)/10</f>
        <v>0</v>
      </c>
      <c r="I175" s="1286"/>
      <c r="J175" s="307" t="e">
        <f t="shared" si="1"/>
        <v>#DIV/0!</v>
      </c>
      <c r="K175" s="226"/>
      <c r="L175" s="226"/>
    </row>
    <row r="176" spans="1:12" ht="12.75" customHeight="1">
      <c r="A176" s="226"/>
      <c r="B176" s="226"/>
      <c r="C176" s="1203" t="s">
        <v>25</v>
      </c>
      <c r="D176" s="1204"/>
      <c r="E176" s="292" t="s">
        <v>525</v>
      </c>
      <c r="F176" s="1268" t="e">
        <f>J152</f>
        <v>#DIV/0!</v>
      </c>
      <c r="G176" s="1286"/>
      <c r="H176" s="1268">
        <f>'Results from eQUEST'!BH19/10</f>
        <v>0</v>
      </c>
      <c r="I176" s="1286"/>
      <c r="J176" s="308" t="e">
        <f t="shared" si="1"/>
        <v>#DIV/0!</v>
      </c>
      <c r="K176" s="226"/>
      <c r="L176" s="226"/>
    </row>
    <row r="177" spans="1:12" ht="12.75">
      <c r="A177" s="226"/>
      <c r="B177" s="226"/>
      <c r="C177" s="1203" t="s">
        <v>83</v>
      </c>
      <c r="D177" s="1204"/>
      <c r="E177" s="294" t="s">
        <v>525</v>
      </c>
      <c r="F177" s="1205" t="e">
        <f>J153</f>
        <v>#DIV/0!</v>
      </c>
      <c r="G177" s="1206"/>
      <c r="H177" s="1205">
        <f>('Results from eQUEST'!AZ19+'Results from eQUEST'!BF19)/10</f>
        <v>0</v>
      </c>
      <c r="I177" s="1206"/>
      <c r="J177" s="309" t="e">
        <f t="shared" si="1"/>
        <v>#DIV/0!</v>
      </c>
      <c r="K177" s="226"/>
      <c r="L177" s="226"/>
    </row>
    <row r="178" spans="1:12" ht="12.75" customHeight="1">
      <c r="A178" s="226"/>
      <c r="B178" s="226"/>
      <c r="C178" s="1307" t="s">
        <v>30</v>
      </c>
      <c r="D178" s="1308"/>
      <c r="E178" s="1313"/>
      <c r="F178" s="1308"/>
      <c r="G178" s="1308"/>
      <c r="H178" s="1308"/>
      <c r="I178" s="1308"/>
      <c r="J178" s="1309"/>
      <c r="K178" s="226"/>
      <c r="L178" s="226"/>
    </row>
    <row r="179" spans="1:12" ht="12.75">
      <c r="A179" s="226"/>
      <c r="B179" s="226"/>
      <c r="C179" s="1203" t="s">
        <v>23</v>
      </c>
      <c r="D179" s="1264"/>
      <c r="E179" s="289" t="s">
        <v>525</v>
      </c>
      <c r="F179" s="1138"/>
      <c r="G179" s="1140"/>
      <c r="H179" s="1138"/>
      <c r="I179" s="1140"/>
      <c r="J179" s="307" t="str">
        <f t="shared" si="1"/>
        <v>NA</v>
      </c>
      <c r="K179" s="226"/>
      <c r="L179" s="226"/>
    </row>
    <row r="180" spans="1:12" ht="12.75" customHeight="1">
      <c r="A180" s="226"/>
      <c r="B180" s="226"/>
      <c r="C180" s="1203" t="s">
        <v>25</v>
      </c>
      <c r="D180" s="1204"/>
      <c r="E180" s="292" t="s">
        <v>525</v>
      </c>
      <c r="F180" s="1138"/>
      <c r="G180" s="1140"/>
      <c r="H180" s="1138"/>
      <c r="I180" s="1140"/>
      <c r="J180" s="308" t="str">
        <f t="shared" si="1"/>
        <v>NA</v>
      </c>
      <c r="K180" s="226"/>
      <c r="L180" s="226"/>
    </row>
    <row r="181" spans="1:12" ht="12.75" customHeight="1">
      <c r="A181" s="226"/>
      <c r="B181" s="226"/>
      <c r="C181" s="1307" t="s">
        <v>31</v>
      </c>
      <c r="D181" s="1308"/>
      <c r="E181" s="1308"/>
      <c r="F181" s="1308"/>
      <c r="G181" s="1308"/>
      <c r="H181" s="1308"/>
      <c r="I181" s="1308"/>
      <c r="J181" s="1309"/>
      <c r="K181" s="226"/>
      <c r="L181" s="226"/>
    </row>
    <row r="182" spans="1:12" ht="12.75">
      <c r="A182" s="226"/>
      <c r="B182" s="226"/>
      <c r="C182" s="1314" t="s">
        <v>21</v>
      </c>
      <c r="D182" s="1315"/>
      <c r="E182" s="289" t="s">
        <v>60</v>
      </c>
      <c r="F182" s="1268">
        <f>J158</f>
      </c>
      <c r="G182" s="1206"/>
      <c r="H182" s="1268">
        <f>SUM(H165:I173)</f>
        <v>0</v>
      </c>
      <c r="I182" s="1206"/>
      <c r="J182" s="307" t="e">
        <f t="shared" si="1"/>
        <v>#VALUE!</v>
      </c>
      <c r="K182" s="226"/>
      <c r="L182" s="226"/>
    </row>
    <row r="183" spans="1:12" ht="12.75">
      <c r="A183" s="226"/>
      <c r="B183" s="226"/>
      <c r="C183" s="1314" t="s">
        <v>29</v>
      </c>
      <c r="D183" s="1315"/>
      <c r="E183" s="292" t="s">
        <v>525</v>
      </c>
      <c r="F183" s="1268">
        <f>J159</f>
        <v>0</v>
      </c>
      <c r="G183" s="1286"/>
      <c r="H183" s="1268">
        <f>SUM(H175:I177)</f>
        <v>0</v>
      </c>
      <c r="I183" s="1286"/>
      <c r="J183" s="308" t="str">
        <f t="shared" si="1"/>
        <v>NA</v>
      </c>
      <c r="K183" s="226"/>
      <c r="L183" s="226"/>
    </row>
    <row r="184" spans="1:12" ht="13.5" thickBot="1">
      <c r="A184" s="226"/>
      <c r="B184" s="226"/>
      <c r="C184" s="1316" t="s">
        <v>32</v>
      </c>
      <c r="D184" s="1317"/>
      <c r="E184" s="303" t="s">
        <v>525</v>
      </c>
      <c r="F184" s="1209">
        <f>J160</f>
        <v>0</v>
      </c>
      <c r="G184" s="1210"/>
      <c r="H184" s="1209">
        <f>SUM(H179:I180)</f>
        <v>0</v>
      </c>
      <c r="I184" s="1210"/>
      <c r="J184" s="310" t="str">
        <f t="shared" si="1"/>
        <v>NA</v>
      </c>
      <c r="K184" s="226"/>
      <c r="L184" s="226"/>
    </row>
    <row r="185" spans="1:12" ht="12.75">
      <c r="A185" s="226"/>
      <c r="B185" s="226"/>
      <c r="C185" s="226"/>
      <c r="D185" s="226"/>
      <c r="E185" s="226"/>
      <c r="F185" s="226"/>
      <c r="G185" s="226"/>
      <c r="H185" s="226"/>
      <c r="I185" s="226"/>
      <c r="J185" s="311"/>
      <c r="K185" s="226"/>
      <c r="L185" s="226"/>
    </row>
  </sheetData>
  <sheetProtection sheet="1" objects="1" scenarios="1"/>
  <mergeCells count="345">
    <mergeCell ref="I42:K42"/>
    <mergeCell ref="C180:D180"/>
    <mergeCell ref="F180:G180"/>
    <mergeCell ref="H180:I180"/>
    <mergeCell ref="C181:J181"/>
    <mergeCell ref="C182:D182"/>
    <mergeCell ref="F182:G182"/>
    <mergeCell ref="H182:I182"/>
    <mergeCell ref="C178:J178"/>
    <mergeCell ref="C179:D179"/>
    <mergeCell ref="C183:D183"/>
    <mergeCell ref="F183:G183"/>
    <mergeCell ref="H183:I183"/>
    <mergeCell ref="C184:D184"/>
    <mergeCell ref="F184:G184"/>
    <mergeCell ref="H184:I184"/>
    <mergeCell ref="F179:G179"/>
    <mergeCell ref="H179:I179"/>
    <mergeCell ref="C176:D176"/>
    <mergeCell ref="F176:G176"/>
    <mergeCell ref="H176:I176"/>
    <mergeCell ref="C177:D177"/>
    <mergeCell ref="F177:G177"/>
    <mergeCell ref="H177:I177"/>
    <mergeCell ref="C174:J174"/>
    <mergeCell ref="C175:D175"/>
    <mergeCell ref="F175:G175"/>
    <mergeCell ref="H175:I175"/>
    <mergeCell ref="C172:D172"/>
    <mergeCell ref="F172:G172"/>
    <mergeCell ref="H172:I172"/>
    <mergeCell ref="C173:D173"/>
    <mergeCell ref="F173:G173"/>
    <mergeCell ref="H173:I173"/>
    <mergeCell ref="C171:D171"/>
    <mergeCell ref="F171:G171"/>
    <mergeCell ref="H171:I171"/>
    <mergeCell ref="F169:G169"/>
    <mergeCell ref="C169:D169"/>
    <mergeCell ref="H169:I169"/>
    <mergeCell ref="C170:D170"/>
    <mergeCell ref="F170:G170"/>
    <mergeCell ref="H170:I170"/>
    <mergeCell ref="C166:D166"/>
    <mergeCell ref="F166:G166"/>
    <mergeCell ref="H166:I166"/>
    <mergeCell ref="C167:D167"/>
    <mergeCell ref="F167:G167"/>
    <mergeCell ref="H167:I167"/>
    <mergeCell ref="C168:D168"/>
    <mergeCell ref="F168:G168"/>
    <mergeCell ref="H168:I168"/>
    <mergeCell ref="C158:D158"/>
    <mergeCell ref="C159:D159"/>
    <mergeCell ref="C160:D160"/>
    <mergeCell ref="F163:G163"/>
    <mergeCell ref="H163:I163"/>
    <mergeCell ref="C164:J164"/>
    <mergeCell ref="C165:D165"/>
    <mergeCell ref="H165:I165"/>
    <mergeCell ref="C149:D149"/>
    <mergeCell ref="C150:J150"/>
    <mergeCell ref="C151:D151"/>
    <mergeCell ref="C152:D152"/>
    <mergeCell ref="C153:D153"/>
    <mergeCell ref="C154:J154"/>
    <mergeCell ref="C155:D155"/>
    <mergeCell ref="C156:D156"/>
    <mergeCell ref="C144:D144"/>
    <mergeCell ref="C145:D145"/>
    <mergeCell ref="C146:D146"/>
    <mergeCell ref="C147:D147"/>
    <mergeCell ref="C148:D148"/>
    <mergeCell ref="F165:G165"/>
    <mergeCell ref="H134:K134"/>
    <mergeCell ref="B131:C131"/>
    <mergeCell ref="E131:G131"/>
    <mergeCell ref="H131:K131"/>
    <mergeCell ref="B132:K132"/>
    <mergeCell ref="C157:J157"/>
    <mergeCell ref="C140:J140"/>
    <mergeCell ref="C141:D141"/>
    <mergeCell ref="C142:D142"/>
    <mergeCell ref="C143:D143"/>
    <mergeCell ref="H127:K127"/>
    <mergeCell ref="B128:C128"/>
    <mergeCell ref="H128:K128"/>
    <mergeCell ref="B135:C135"/>
    <mergeCell ref="E135:G135"/>
    <mergeCell ref="H135:K135"/>
    <mergeCell ref="E134:G134"/>
    <mergeCell ref="B133:C133"/>
    <mergeCell ref="E133:G133"/>
    <mergeCell ref="H133:K133"/>
    <mergeCell ref="B123:K123"/>
    <mergeCell ref="B124:C124"/>
    <mergeCell ref="E124:G124"/>
    <mergeCell ref="H124:K124"/>
    <mergeCell ref="B129:K129"/>
    <mergeCell ref="B130:C130"/>
    <mergeCell ref="E130:G130"/>
    <mergeCell ref="H130:K130"/>
    <mergeCell ref="B127:C127"/>
    <mergeCell ref="E127:G127"/>
    <mergeCell ref="B125:C125"/>
    <mergeCell ref="E125:G125"/>
    <mergeCell ref="H125:K125"/>
    <mergeCell ref="B126:C126"/>
    <mergeCell ref="E126:G126"/>
    <mergeCell ref="H126:K126"/>
    <mergeCell ref="B120:C120"/>
    <mergeCell ref="E120:G120"/>
    <mergeCell ref="H120:K120"/>
    <mergeCell ref="B121:C121"/>
    <mergeCell ref="E121:G121"/>
    <mergeCell ref="H121:K121"/>
    <mergeCell ref="B122:C122"/>
    <mergeCell ref="E122:G122"/>
    <mergeCell ref="H122:K122"/>
    <mergeCell ref="B117:C117"/>
    <mergeCell ref="E117:G117"/>
    <mergeCell ref="H117:K117"/>
    <mergeCell ref="B118:C118"/>
    <mergeCell ref="E118:G118"/>
    <mergeCell ref="H118:K118"/>
    <mergeCell ref="B119:C119"/>
    <mergeCell ref="E119:G119"/>
    <mergeCell ref="H119:K119"/>
    <mergeCell ref="B114:C114"/>
    <mergeCell ref="E114:G114"/>
    <mergeCell ref="H114:K114"/>
    <mergeCell ref="B115:C115"/>
    <mergeCell ref="B116:C116"/>
    <mergeCell ref="H110:K110"/>
    <mergeCell ref="E107:G107"/>
    <mergeCell ref="B111:C111"/>
    <mergeCell ref="E111:G111"/>
    <mergeCell ref="H111:K111"/>
    <mergeCell ref="B112:C112"/>
    <mergeCell ref="E112:G112"/>
    <mergeCell ref="H112:K112"/>
    <mergeCell ref="H103:K103"/>
    <mergeCell ref="H105:K105"/>
    <mergeCell ref="B113:C113"/>
    <mergeCell ref="B105:C105"/>
    <mergeCell ref="B106:C106"/>
    <mergeCell ref="B107:C107"/>
    <mergeCell ref="B108:C108"/>
    <mergeCell ref="B109:K109"/>
    <mergeCell ref="B110:C110"/>
    <mergeCell ref="E110:G110"/>
    <mergeCell ref="E99:G99"/>
    <mergeCell ref="H99:K99"/>
    <mergeCell ref="E108:G108"/>
    <mergeCell ref="H107:K107"/>
    <mergeCell ref="H108:K108"/>
    <mergeCell ref="B100:C100"/>
    <mergeCell ref="B101:C101"/>
    <mergeCell ref="B102:C102"/>
    <mergeCell ref="B103:C103"/>
    <mergeCell ref="B104:C104"/>
    <mergeCell ref="E97:G97"/>
    <mergeCell ref="H97:K97"/>
    <mergeCell ref="B98:C98"/>
    <mergeCell ref="B95:C95"/>
    <mergeCell ref="B96:C96"/>
    <mergeCell ref="E96:G96"/>
    <mergeCell ref="H96:K96"/>
    <mergeCell ref="E98:G98"/>
    <mergeCell ref="H98:K98"/>
    <mergeCell ref="B91:C91"/>
    <mergeCell ref="E91:G91"/>
    <mergeCell ref="H91:K91"/>
    <mergeCell ref="B92:C92"/>
    <mergeCell ref="E92:G92"/>
    <mergeCell ref="H92:K92"/>
    <mergeCell ref="B94:C94"/>
    <mergeCell ref="E94:G94"/>
    <mergeCell ref="H94:K94"/>
    <mergeCell ref="H93:K93"/>
    <mergeCell ref="E93:G93"/>
    <mergeCell ref="B99:C99"/>
    <mergeCell ref="E95:G95"/>
    <mergeCell ref="H95:K95"/>
    <mergeCell ref="B93:C93"/>
    <mergeCell ref="B97:C97"/>
    <mergeCell ref="B88:C88"/>
    <mergeCell ref="E88:G88"/>
    <mergeCell ref="H88:K88"/>
    <mergeCell ref="B89:C89"/>
    <mergeCell ref="E89:G89"/>
    <mergeCell ref="H89:K89"/>
    <mergeCell ref="B90:C90"/>
    <mergeCell ref="E90:G90"/>
    <mergeCell ref="H90:K90"/>
    <mergeCell ref="B84:C84"/>
    <mergeCell ref="E84:G84"/>
    <mergeCell ref="H84:K84"/>
    <mergeCell ref="B85:C85"/>
    <mergeCell ref="H85:K85"/>
    <mergeCell ref="B86:K86"/>
    <mergeCell ref="B87:C87"/>
    <mergeCell ref="E87:G87"/>
    <mergeCell ref="H87:K87"/>
    <mergeCell ref="E85:G85"/>
    <mergeCell ref="B81:C81"/>
    <mergeCell ref="E81:G81"/>
    <mergeCell ref="H81:K81"/>
    <mergeCell ref="B82:C82"/>
    <mergeCell ref="E82:G82"/>
    <mergeCell ref="H82:K82"/>
    <mergeCell ref="B83:C83"/>
    <mergeCell ref="E83:G83"/>
    <mergeCell ref="H83:K83"/>
    <mergeCell ref="B77:K77"/>
    <mergeCell ref="B78:C78"/>
    <mergeCell ref="E78:G78"/>
    <mergeCell ref="H78:K78"/>
    <mergeCell ref="B79:C79"/>
    <mergeCell ref="E79:G79"/>
    <mergeCell ref="H79:K79"/>
    <mergeCell ref="B80:C80"/>
    <mergeCell ref="B73:C73"/>
    <mergeCell ref="E73:G73"/>
    <mergeCell ref="B74:C74"/>
    <mergeCell ref="E74:G74"/>
    <mergeCell ref="E80:G80"/>
    <mergeCell ref="H80:K80"/>
    <mergeCell ref="B76:C76"/>
    <mergeCell ref="E76:G76"/>
    <mergeCell ref="H76:K76"/>
    <mergeCell ref="H75:K75"/>
    <mergeCell ref="H74:K74"/>
    <mergeCell ref="H73:K73"/>
    <mergeCell ref="C66:D66"/>
    <mergeCell ref="B70:C70"/>
    <mergeCell ref="E70:G70"/>
    <mergeCell ref="H70:K70"/>
    <mergeCell ref="B71:K71"/>
    <mergeCell ref="B72:C72"/>
    <mergeCell ref="E72:G72"/>
    <mergeCell ref="H72:K72"/>
    <mergeCell ref="B75:C75"/>
    <mergeCell ref="E75:G75"/>
    <mergeCell ref="E61:F61"/>
    <mergeCell ref="G61:H61"/>
    <mergeCell ref="I61:J61"/>
    <mergeCell ref="C62:D62"/>
    <mergeCell ref="E62:F62"/>
    <mergeCell ref="G62:H62"/>
    <mergeCell ref="I62:J62"/>
    <mergeCell ref="C64:D64"/>
    <mergeCell ref="C65:D65"/>
    <mergeCell ref="C58:D58"/>
    <mergeCell ref="E58:F58"/>
    <mergeCell ref="C60:D60"/>
    <mergeCell ref="E60:F60"/>
    <mergeCell ref="G58:H58"/>
    <mergeCell ref="I58:J58"/>
    <mergeCell ref="C59:D59"/>
    <mergeCell ref="E59:F59"/>
    <mergeCell ref="G59:H59"/>
    <mergeCell ref="I59:J59"/>
    <mergeCell ref="G60:H60"/>
    <mergeCell ref="I60:J60"/>
    <mergeCell ref="C55:D55"/>
    <mergeCell ref="E55:F55"/>
    <mergeCell ref="G55:H55"/>
    <mergeCell ref="I55:J55"/>
    <mergeCell ref="C56:D56"/>
    <mergeCell ref="E56:F56"/>
    <mergeCell ref="G56:H56"/>
    <mergeCell ref="I56:J56"/>
    <mergeCell ref="B49:C49"/>
    <mergeCell ref="D49:F49"/>
    <mergeCell ref="G49:H49"/>
    <mergeCell ref="I49:K49"/>
    <mergeCell ref="C57:D57"/>
    <mergeCell ref="E57:F57"/>
    <mergeCell ref="G57:H57"/>
    <mergeCell ref="I57:J57"/>
    <mergeCell ref="C54:D54"/>
    <mergeCell ref="E54:F54"/>
    <mergeCell ref="G54:H54"/>
    <mergeCell ref="I54:J54"/>
    <mergeCell ref="B50:C50"/>
    <mergeCell ref="D50:F50"/>
    <mergeCell ref="G50:H50"/>
    <mergeCell ref="I50:K50"/>
    <mergeCell ref="B33:E35"/>
    <mergeCell ref="B48:C48"/>
    <mergeCell ref="D48:F48"/>
    <mergeCell ref="G48:H48"/>
    <mergeCell ref="I48:K48"/>
    <mergeCell ref="B47:C47"/>
    <mergeCell ref="D47:F47"/>
    <mergeCell ref="G47:H47"/>
    <mergeCell ref="I47:K47"/>
    <mergeCell ref="D42:F42"/>
    <mergeCell ref="B17:K17"/>
    <mergeCell ref="C18:K18"/>
    <mergeCell ref="H32:K32"/>
    <mergeCell ref="B2:K3"/>
    <mergeCell ref="B7:K10"/>
    <mergeCell ref="H27:K27"/>
    <mergeCell ref="B28:E30"/>
    <mergeCell ref="H28:K28"/>
    <mergeCell ref="H29:K29"/>
    <mergeCell ref="C23:K23"/>
    <mergeCell ref="A4:L4"/>
    <mergeCell ref="B11:K11"/>
    <mergeCell ref="B12:K12"/>
    <mergeCell ref="B13:K13"/>
    <mergeCell ref="B14:K14"/>
    <mergeCell ref="B15:K15"/>
    <mergeCell ref="B39:C39"/>
    <mergeCell ref="D39:F39"/>
    <mergeCell ref="G39:H39"/>
    <mergeCell ref="I39:K39"/>
    <mergeCell ref="C19:K19"/>
    <mergeCell ref="C20:K20"/>
    <mergeCell ref="C21:K21"/>
    <mergeCell ref="C22:K22"/>
    <mergeCell ref="H33:K33"/>
    <mergeCell ref="H34:K34"/>
    <mergeCell ref="B40:C40"/>
    <mergeCell ref="D40:F40"/>
    <mergeCell ref="E105:G105"/>
    <mergeCell ref="E103:G103"/>
    <mergeCell ref="E100:G100"/>
    <mergeCell ref="B41:C41"/>
    <mergeCell ref="B42:C42"/>
    <mergeCell ref="B43:C43"/>
    <mergeCell ref="D43:F43"/>
    <mergeCell ref="G43:H43"/>
    <mergeCell ref="H100:K100"/>
    <mergeCell ref="E101:G101"/>
    <mergeCell ref="H101:K101"/>
    <mergeCell ref="G40:H40"/>
    <mergeCell ref="I40:K40"/>
    <mergeCell ref="D41:F41"/>
    <mergeCell ref="G41:H41"/>
    <mergeCell ref="I41:K41"/>
    <mergeCell ref="G42:H42"/>
    <mergeCell ref="I43:K43"/>
  </mergeCells>
  <dataValidations count="1">
    <dataValidation type="list" allowBlank="1" showInputMessage="1" showErrorMessage="1" sqref="E101:G101 E103:G103">
      <formula1>$AD$94:$AD$95</formula1>
    </dataValidation>
  </dataValidations>
  <printOptions/>
  <pageMargins left="0.25" right="0.25" top="0.75" bottom="0.75" header="0.3" footer="0.3"/>
  <pageSetup fitToHeight="1" fitToWidth="1" horizontalDpi="400" verticalDpi="400" orientation="portrait" scale="30" r:id="rId1"/>
  <headerFooter alignWithMargins="0">
    <oddFooter>&amp;LLEED for Homes Mid-rise Data Collection Form&amp;CPage &amp;P of &amp;N&amp;RFebruary, 2009</oddFooter>
  </headerFooter>
  <rowBreaks count="2" manualBreakCount="2">
    <brk id="52" max="255" man="1"/>
    <brk id="135" max="10" man="1"/>
  </rowBreaks>
  <ignoredErrors>
    <ignoredError sqref="E81:G84 H81:K84 E120 H120 E124 H124 E131 H131" formulaRange="1"/>
  </ignoredErrors>
</worksheet>
</file>

<file path=xl/worksheets/sheet7.xml><?xml version="1.0" encoding="utf-8"?>
<worksheet xmlns="http://schemas.openxmlformats.org/spreadsheetml/2006/main" xmlns:r="http://schemas.openxmlformats.org/officeDocument/2006/relationships">
  <sheetPr>
    <tabColor indexed="60"/>
    <pageSetUpPr fitToPage="1"/>
  </sheetPr>
  <dimension ref="A1:X39"/>
  <sheetViews>
    <sheetView tabSelected="1" zoomScalePageLayoutView="0" workbookViewId="0" topLeftCell="A1">
      <selection activeCell="C5" sqref="C5"/>
    </sheetView>
  </sheetViews>
  <sheetFormatPr defaultColWidth="9.140625" defaultRowHeight="12.75"/>
  <cols>
    <col min="1" max="1" width="2.00390625" style="131" bestFit="1" customWidth="1"/>
    <col min="2" max="2" width="26.140625" style="131" customWidth="1"/>
    <col min="3" max="3" width="10.7109375" style="131" customWidth="1"/>
    <col min="4" max="23" width="9.140625" style="131" customWidth="1"/>
    <col min="24" max="24" width="0" style="131" hidden="1" customWidth="1"/>
    <col min="25" max="16384" width="9.140625" style="131" customWidth="1"/>
  </cols>
  <sheetData>
    <row r="1" spans="2:24" ht="12.75">
      <c r="B1" s="15" t="s">
        <v>346</v>
      </c>
      <c r="X1" s="131">
        <v>1</v>
      </c>
    </row>
    <row r="2" spans="1:24" ht="12.75">
      <c r="A2" s="131">
        <v>1</v>
      </c>
      <c r="B2" s="312" t="s">
        <v>670</v>
      </c>
      <c r="C2" s="312"/>
      <c r="D2" s="312"/>
      <c r="E2" s="312"/>
      <c r="F2" s="312"/>
      <c r="G2" s="312"/>
      <c r="H2" s="312"/>
      <c r="I2" s="312"/>
      <c r="J2" s="312"/>
      <c r="K2" s="312"/>
      <c r="L2" s="313"/>
      <c r="M2" s="313"/>
      <c r="X2" s="131">
        <v>2</v>
      </c>
    </row>
    <row r="3" spans="1:24" ht="12.75">
      <c r="A3" s="131">
        <v>2</v>
      </c>
      <c r="B3" s="312" t="s">
        <v>636</v>
      </c>
      <c r="C3" s="312"/>
      <c r="D3" s="312"/>
      <c r="E3" s="312"/>
      <c r="F3" s="312"/>
      <c r="G3" s="312"/>
      <c r="H3" s="312"/>
      <c r="I3" s="312"/>
      <c r="J3" s="312"/>
      <c r="K3" s="675"/>
      <c r="L3" s="675"/>
      <c r="M3" s="313"/>
      <c r="X3" s="131">
        <v>3</v>
      </c>
    </row>
    <row r="4" spans="1:24" ht="12.75">
      <c r="A4" s="131">
        <v>3</v>
      </c>
      <c r="B4" s="312" t="s">
        <v>188</v>
      </c>
      <c r="C4" s="312"/>
      <c r="D4" s="312"/>
      <c r="E4" s="312"/>
      <c r="F4" s="313"/>
      <c r="G4" s="313"/>
      <c r="H4" s="313"/>
      <c r="I4" s="313"/>
      <c r="J4" s="313"/>
      <c r="K4" s="313"/>
      <c r="L4" s="313"/>
      <c r="M4" s="313"/>
      <c r="X4" s="131">
        <v>4</v>
      </c>
    </row>
    <row r="5" spans="1:24" ht="12.75">
      <c r="A5" s="131">
        <v>4</v>
      </c>
      <c r="B5" s="314" t="s">
        <v>716</v>
      </c>
      <c r="C5" s="314"/>
      <c r="D5" s="314"/>
      <c r="E5" s="314"/>
      <c r="F5" s="314"/>
      <c r="G5" s="314"/>
      <c r="H5" s="314"/>
      <c r="I5" s="314"/>
      <c r="J5" s="314"/>
      <c r="K5" s="314"/>
      <c r="L5" s="314"/>
      <c r="X5" s="131">
        <v>5</v>
      </c>
    </row>
    <row r="6" s="313" customFormat="1" ht="12.75">
      <c r="X6" s="313">
        <v>6</v>
      </c>
    </row>
    <row r="7" spans="2:24" s="313" customFormat="1" ht="12.75">
      <c r="B7" s="313" t="s">
        <v>671</v>
      </c>
      <c r="C7" s="809"/>
      <c r="X7" s="313">
        <v>7</v>
      </c>
    </row>
    <row r="8" spans="2:24" s="313" customFormat="1" ht="12.75">
      <c r="B8" s="313" t="s">
        <v>672</v>
      </c>
      <c r="C8" s="809"/>
      <c r="X8" s="313">
        <v>8</v>
      </c>
    </row>
    <row r="9" s="313" customFormat="1" ht="12.75"/>
    <row r="10" spans="2:24" ht="12.75">
      <c r="B10" s="315" t="s">
        <v>634</v>
      </c>
      <c r="C10" s="1322" t="s">
        <v>196</v>
      </c>
      <c r="D10" s="1322"/>
      <c r="E10" s="1322" t="s">
        <v>635</v>
      </c>
      <c r="F10" s="1322"/>
      <c r="X10" s="131" t="s">
        <v>673</v>
      </c>
    </row>
    <row r="11" spans="2:24" ht="13.5" thickBot="1">
      <c r="B11" s="316"/>
      <c r="C11" s="316" t="s">
        <v>206</v>
      </c>
      <c r="D11" s="131" t="s">
        <v>207</v>
      </c>
      <c r="E11" s="316" t="s">
        <v>206</v>
      </c>
      <c r="F11" s="131" t="s">
        <v>207</v>
      </c>
      <c r="G11" s="131" t="s">
        <v>135</v>
      </c>
      <c r="X11" s="131" t="s">
        <v>299</v>
      </c>
    </row>
    <row r="12" spans="2:6" ht="13.5" thickBot="1">
      <c r="B12" s="317" t="s">
        <v>273</v>
      </c>
      <c r="C12" s="810"/>
      <c r="D12" s="810"/>
      <c r="E12" s="810"/>
      <c r="F12" s="810"/>
    </row>
    <row r="13" spans="2:6" ht="13.5" thickBot="1">
      <c r="B13" s="317" t="s">
        <v>272</v>
      </c>
      <c r="C13" s="810"/>
      <c r="D13" s="810"/>
      <c r="E13" s="810"/>
      <c r="F13" s="810"/>
    </row>
    <row r="14" spans="2:6" ht="12.75">
      <c r="B14" s="318"/>
      <c r="C14" s="319"/>
      <c r="D14" s="319"/>
      <c r="E14" s="319"/>
      <c r="F14" s="319"/>
    </row>
    <row r="15" spans="2:6" ht="12.75">
      <c r="B15" s="318" t="s">
        <v>717</v>
      </c>
      <c r="C15" s="320">
        <f>C12*1.15</f>
        <v>0</v>
      </c>
      <c r="D15" s="320">
        <f>D12*1.15</f>
        <v>0</v>
      </c>
      <c r="E15" s="320">
        <f>E12*1.15</f>
        <v>0</v>
      </c>
      <c r="F15" s="320">
        <f>F12*1.15</f>
        <v>0</v>
      </c>
    </row>
    <row r="16" spans="2:6" ht="12.75">
      <c r="B16" s="318" t="s">
        <v>718</v>
      </c>
      <c r="C16" s="320" t="e">
        <f>1/(1/C13-0.17)</f>
        <v>#DIV/0!</v>
      </c>
      <c r="D16" s="320" t="e">
        <f>1/(1/D13-0.17)</f>
        <v>#DIV/0!</v>
      </c>
      <c r="E16" s="320" t="e">
        <f>1/(1/E13-0.17)</f>
        <v>#DIV/0!</v>
      </c>
      <c r="F16" s="320" t="e">
        <f>1/(1/F13-0.17)</f>
        <v>#DIV/0!</v>
      </c>
    </row>
    <row r="19" spans="2:18" ht="13.5" thickBot="1">
      <c r="B19" s="321" t="s">
        <v>196</v>
      </c>
      <c r="C19" s="1320" t="s">
        <v>656</v>
      </c>
      <c r="D19" s="1320"/>
      <c r="E19" s="1320" t="s">
        <v>662</v>
      </c>
      <c r="F19" s="1320"/>
      <c r="G19" s="1320" t="s">
        <v>663</v>
      </c>
      <c r="H19" s="1320"/>
      <c r="I19" s="1320" t="s">
        <v>664</v>
      </c>
      <c r="J19" s="1320"/>
      <c r="K19" s="1320" t="s">
        <v>665</v>
      </c>
      <c r="L19" s="1320"/>
      <c r="M19" s="1320" t="s">
        <v>666</v>
      </c>
      <c r="N19" s="1320"/>
      <c r="O19" s="1320" t="s">
        <v>667</v>
      </c>
      <c r="P19" s="1320"/>
      <c r="Q19" s="1320" t="s">
        <v>669</v>
      </c>
      <c r="R19" s="1320"/>
    </row>
    <row r="20" spans="2:18" ht="12.75">
      <c r="B20" s="322"/>
      <c r="C20" s="323" t="s">
        <v>661</v>
      </c>
      <c r="D20" s="324" t="s">
        <v>439</v>
      </c>
      <c r="E20" s="323" t="s">
        <v>661</v>
      </c>
      <c r="F20" s="324" t="s">
        <v>439</v>
      </c>
      <c r="G20" s="323" t="s">
        <v>661</v>
      </c>
      <c r="H20" s="324" t="s">
        <v>439</v>
      </c>
      <c r="I20" s="323" t="s">
        <v>661</v>
      </c>
      <c r="J20" s="324" t="s">
        <v>439</v>
      </c>
      <c r="K20" s="323" t="s">
        <v>661</v>
      </c>
      <c r="L20" s="324" t="s">
        <v>439</v>
      </c>
      <c r="M20" s="323" t="s">
        <v>661</v>
      </c>
      <c r="N20" s="324" t="s">
        <v>439</v>
      </c>
      <c r="O20" s="323" t="s">
        <v>661</v>
      </c>
      <c r="P20" s="324" t="s">
        <v>439</v>
      </c>
      <c r="Q20" s="323" t="s">
        <v>661</v>
      </c>
      <c r="R20" s="324" t="s">
        <v>439</v>
      </c>
    </row>
    <row r="21" spans="2:18" ht="12.75">
      <c r="B21" s="325" t="s">
        <v>658</v>
      </c>
      <c r="C21" s="326">
        <v>1.2</v>
      </c>
      <c r="D21" s="327">
        <v>0.25</v>
      </c>
      <c r="E21" s="326">
        <v>0.75</v>
      </c>
      <c r="F21" s="327">
        <v>0.25</v>
      </c>
      <c r="G21" s="328">
        <v>0.65</v>
      </c>
      <c r="H21" s="327">
        <v>0.25</v>
      </c>
      <c r="I21" s="329">
        <v>0.4</v>
      </c>
      <c r="J21" s="330">
        <v>0.4</v>
      </c>
      <c r="K21" s="331">
        <v>0.35</v>
      </c>
      <c r="L21" s="330">
        <v>0.4</v>
      </c>
      <c r="M21" s="331">
        <v>0.35</v>
      </c>
      <c r="N21" s="330">
        <v>0.4</v>
      </c>
      <c r="O21" s="331">
        <v>0.35</v>
      </c>
      <c r="P21" s="332" t="s">
        <v>668</v>
      </c>
      <c r="Q21" s="331">
        <v>0.35</v>
      </c>
      <c r="R21" s="332" t="s">
        <v>668</v>
      </c>
    </row>
    <row r="22" spans="2:18" ht="12.75">
      <c r="B22" s="325" t="s">
        <v>660</v>
      </c>
      <c r="C22" s="326">
        <v>1.2</v>
      </c>
      <c r="D22" s="327">
        <v>0.25</v>
      </c>
      <c r="E22" s="326">
        <v>0.7</v>
      </c>
      <c r="F22" s="327">
        <v>0.25</v>
      </c>
      <c r="G22" s="326">
        <v>0.6</v>
      </c>
      <c r="H22" s="327">
        <v>0.25</v>
      </c>
      <c r="I22" s="329">
        <v>0.5</v>
      </c>
      <c r="J22" s="330">
        <v>0.4</v>
      </c>
      <c r="K22" s="331">
        <v>0.45</v>
      </c>
      <c r="L22" s="330">
        <v>0.4</v>
      </c>
      <c r="M22" s="331">
        <v>0.45</v>
      </c>
      <c r="N22" s="330">
        <v>0.4</v>
      </c>
      <c r="O22" s="329">
        <v>0.4</v>
      </c>
      <c r="P22" s="332" t="s">
        <v>668</v>
      </c>
      <c r="Q22" s="329">
        <v>0.4</v>
      </c>
      <c r="R22" s="332" t="s">
        <v>668</v>
      </c>
    </row>
    <row r="23" spans="2:18" ht="12.75">
      <c r="B23" s="325" t="s">
        <v>659</v>
      </c>
      <c r="C23" s="326">
        <v>1.2</v>
      </c>
      <c r="D23" s="327">
        <v>0.25</v>
      </c>
      <c r="E23" s="326">
        <v>1.1</v>
      </c>
      <c r="F23" s="327">
        <v>0.25</v>
      </c>
      <c r="G23" s="326">
        <v>0.9</v>
      </c>
      <c r="H23" s="327">
        <v>0.25</v>
      </c>
      <c r="I23" s="331">
        <v>0.85</v>
      </c>
      <c r="J23" s="330">
        <v>0.4</v>
      </c>
      <c r="K23" s="329">
        <v>0.8</v>
      </c>
      <c r="L23" s="330">
        <v>0.4</v>
      </c>
      <c r="M23" s="329">
        <v>0.8</v>
      </c>
      <c r="N23" s="330">
        <v>0.4</v>
      </c>
      <c r="O23" s="329">
        <v>0.8</v>
      </c>
      <c r="P23" s="332" t="s">
        <v>668</v>
      </c>
      <c r="Q23" s="329">
        <v>0.8</v>
      </c>
      <c r="R23" s="332" t="s">
        <v>668</v>
      </c>
    </row>
    <row r="24" spans="2:18" ht="12.75">
      <c r="B24" s="333" t="s">
        <v>657</v>
      </c>
      <c r="C24" s="334">
        <v>1.2</v>
      </c>
      <c r="D24" s="335">
        <v>0.25</v>
      </c>
      <c r="E24" s="334">
        <v>0.75</v>
      </c>
      <c r="F24" s="335">
        <v>0.25</v>
      </c>
      <c r="G24" s="336">
        <v>0.65</v>
      </c>
      <c r="H24" s="335">
        <v>0.25</v>
      </c>
      <c r="I24" s="337">
        <v>0.55</v>
      </c>
      <c r="J24" s="338">
        <v>0.4</v>
      </c>
      <c r="K24" s="337">
        <v>0.55</v>
      </c>
      <c r="L24" s="338">
        <v>0.4</v>
      </c>
      <c r="M24" s="337">
        <v>0.55</v>
      </c>
      <c r="N24" s="338">
        <v>0.4</v>
      </c>
      <c r="O24" s="337">
        <v>0.45</v>
      </c>
      <c r="P24" s="339" t="s">
        <v>668</v>
      </c>
      <c r="Q24" s="337">
        <v>0.45</v>
      </c>
      <c r="R24" s="339" t="s">
        <v>668</v>
      </c>
    </row>
    <row r="25" spans="2:18" ht="12.75">
      <c r="B25" s="340"/>
      <c r="C25" s="340"/>
      <c r="D25" s="341"/>
      <c r="E25" s="340"/>
      <c r="F25" s="341"/>
      <c r="G25" s="340"/>
      <c r="H25" s="342"/>
      <c r="J25" s="342"/>
      <c r="L25" s="342"/>
      <c r="N25" s="342"/>
      <c r="P25" s="342"/>
      <c r="R25" s="342"/>
    </row>
    <row r="26" spans="4:18" ht="12.75">
      <c r="D26" s="342"/>
      <c r="F26" s="342"/>
      <c r="H26" s="342"/>
      <c r="J26" s="342"/>
      <c r="L26" s="342"/>
      <c r="N26" s="342"/>
      <c r="P26" s="342"/>
      <c r="R26" s="342"/>
    </row>
    <row r="27" spans="2:18" ht="13.5" thickBot="1">
      <c r="B27" s="321" t="s">
        <v>635</v>
      </c>
      <c r="C27" s="1320" t="s">
        <v>656</v>
      </c>
      <c r="D27" s="1321"/>
      <c r="E27" s="1320" t="s">
        <v>662</v>
      </c>
      <c r="F27" s="1321"/>
      <c r="G27" s="1320" t="s">
        <v>663</v>
      </c>
      <c r="H27" s="1321"/>
      <c r="I27" s="1320" t="s">
        <v>664</v>
      </c>
      <c r="J27" s="1321"/>
      <c r="K27" s="1320" t="s">
        <v>665</v>
      </c>
      <c r="L27" s="1321"/>
      <c r="M27" s="1320" t="s">
        <v>666</v>
      </c>
      <c r="N27" s="1321"/>
      <c r="O27" s="1320" t="s">
        <v>667</v>
      </c>
      <c r="P27" s="1321"/>
      <c r="Q27" s="1320" t="s">
        <v>669</v>
      </c>
      <c r="R27" s="1321"/>
    </row>
    <row r="28" spans="2:18" ht="12.75">
      <c r="B28" s="322"/>
      <c r="C28" s="323" t="s">
        <v>661</v>
      </c>
      <c r="D28" s="324" t="s">
        <v>439</v>
      </c>
      <c r="E28" s="323" t="s">
        <v>661</v>
      </c>
      <c r="F28" s="324" t="s">
        <v>439</v>
      </c>
      <c r="G28" s="323" t="s">
        <v>661</v>
      </c>
      <c r="H28" s="324" t="s">
        <v>439</v>
      </c>
      <c r="I28" s="323" t="s">
        <v>661</v>
      </c>
      <c r="J28" s="324" t="s">
        <v>439</v>
      </c>
      <c r="K28" s="323" t="s">
        <v>661</v>
      </c>
      <c r="L28" s="324" t="s">
        <v>439</v>
      </c>
      <c r="M28" s="323" t="s">
        <v>661</v>
      </c>
      <c r="N28" s="324" t="s">
        <v>439</v>
      </c>
      <c r="O28" s="323" t="s">
        <v>661</v>
      </c>
      <c r="P28" s="324" t="s">
        <v>439</v>
      </c>
      <c r="Q28" s="323" t="s">
        <v>661</v>
      </c>
      <c r="R28" s="324" t="s">
        <v>439</v>
      </c>
    </row>
    <row r="29" spans="2:18" ht="12.75">
      <c r="B29" s="325" t="s">
        <v>658</v>
      </c>
      <c r="C29" s="326">
        <v>1.2</v>
      </c>
      <c r="D29" s="327">
        <v>0.25</v>
      </c>
      <c r="E29" s="326">
        <v>0.75</v>
      </c>
      <c r="F29" s="327">
        <v>0.25</v>
      </c>
      <c r="G29" s="328">
        <v>0.65</v>
      </c>
      <c r="H29" s="327">
        <v>0.25</v>
      </c>
      <c r="I29" s="329">
        <v>0.4</v>
      </c>
      <c r="J29" s="330">
        <v>0.4</v>
      </c>
      <c r="K29" s="331">
        <v>0.35</v>
      </c>
      <c r="L29" s="330">
        <v>0.4</v>
      </c>
      <c r="M29" s="331">
        <v>0.35</v>
      </c>
      <c r="N29" s="330">
        <v>0.4</v>
      </c>
      <c r="O29" s="329">
        <v>0.35</v>
      </c>
      <c r="P29" s="332">
        <v>0.45</v>
      </c>
      <c r="Q29" s="331">
        <v>0.35</v>
      </c>
      <c r="R29" s="332">
        <v>0.45</v>
      </c>
    </row>
    <row r="30" spans="2:18" ht="12.75">
      <c r="B30" s="325" t="s">
        <v>660</v>
      </c>
      <c r="C30" s="326">
        <v>1.2</v>
      </c>
      <c r="D30" s="327">
        <v>0.25</v>
      </c>
      <c r="E30" s="326">
        <v>0.7</v>
      </c>
      <c r="F30" s="327">
        <v>0.25</v>
      </c>
      <c r="G30" s="326">
        <v>0.6</v>
      </c>
      <c r="H30" s="327">
        <v>0.25</v>
      </c>
      <c r="I30" s="329">
        <v>0.5</v>
      </c>
      <c r="J30" s="330">
        <v>0.4</v>
      </c>
      <c r="K30" s="331">
        <v>0.45</v>
      </c>
      <c r="L30" s="330">
        <v>0.4</v>
      </c>
      <c r="M30" s="331">
        <v>0.45</v>
      </c>
      <c r="N30" s="330">
        <v>0.4</v>
      </c>
      <c r="O30" s="329">
        <v>0.4</v>
      </c>
      <c r="P30" s="332">
        <v>0.45</v>
      </c>
      <c r="Q30" s="329">
        <v>0.4</v>
      </c>
      <c r="R30" s="332">
        <v>0.45</v>
      </c>
    </row>
    <row r="31" spans="2:18" ht="12.75">
      <c r="B31" s="325" t="s">
        <v>659</v>
      </c>
      <c r="C31" s="326">
        <v>1.2</v>
      </c>
      <c r="D31" s="327">
        <v>0.25</v>
      </c>
      <c r="E31" s="326">
        <v>1.1</v>
      </c>
      <c r="F31" s="327">
        <v>0.25</v>
      </c>
      <c r="G31" s="326">
        <v>0.9</v>
      </c>
      <c r="H31" s="327">
        <v>0.25</v>
      </c>
      <c r="I31" s="331">
        <v>0.85</v>
      </c>
      <c r="J31" s="330">
        <v>0.4</v>
      </c>
      <c r="K31" s="329">
        <v>0.8</v>
      </c>
      <c r="L31" s="330">
        <v>0.4</v>
      </c>
      <c r="M31" s="329">
        <v>0.8</v>
      </c>
      <c r="N31" s="330">
        <v>0.4</v>
      </c>
      <c r="O31" s="329">
        <v>0.8</v>
      </c>
      <c r="P31" s="332">
        <v>0.45</v>
      </c>
      <c r="Q31" s="329">
        <v>0.8</v>
      </c>
      <c r="R31" s="332">
        <v>0.45</v>
      </c>
    </row>
    <row r="32" spans="2:18" ht="12.75">
      <c r="B32" s="333" t="s">
        <v>657</v>
      </c>
      <c r="C32" s="334">
        <v>1.2</v>
      </c>
      <c r="D32" s="335">
        <v>0.25</v>
      </c>
      <c r="E32" s="334">
        <v>0.75</v>
      </c>
      <c r="F32" s="335">
        <v>0.25</v>
      </c>
      <c r="G32" s="336">
        <v>0.65</v>
      </c>
      <c r="H32" s="335">
        <v>0.25</v>
      </c>
      <c r="I32" s="337">
        <v>0.55</v>
      </c>
      <c r="J32" s="338">
        <v>0.4</v>
      </c>
      <c r="K32" s="337">
        <v>0.55</v>
      </c>
      <c r="L32" s="338">
        <v>0.4</v>
      </c>
      <c r="M32" s="337">
        <v>0.55</v>
      </c>
      <c r="N32" s="338">
        <v>0.4</v>
      </c>
      <c r="O32" s="343">
        <v>0.45</v>
      </c>
      <c r="P32" s="339">
        <v>0.45</v>
      </c>
      <c r="Q32" s="337">
        <v>0.45</v>
      </c>
      <c r="R32" s="339">
        <v>0.45</v>
      </c>
    </row>
    <row r="33" spans="2:7" ht="12.75">
      <c r="B33" s="340"/>
      <c r="C33" s="340"/>
      <c r="D33" s="340"/>
      <c r="E33" s="340"/>
      <c r="F33" s="340"/>
      <c r="G33" s="340"/>
    </row>
    <row r="34" spans="2:7" ht="12.75">
      <c r="B34" s="340"/>
      <c r="C34" s="340"/>
      <c r="D34" s="340"/>
      <c r="E34" s="340"/>
      <c r="F34" s="340"/>
      <c r="G34" s="340"/>
    </row>
    <row r="35" spans="2:7" ht="12.75">
      <c r="B35" s="340"/>
      <c r="C35" s="673"/>
      <c r="D35" s="340"/>
      <c r="E35" s="673"/>
      <c r="F35" s="340"/>
      <c r="G35" s="340"/>
    </row>
    <row r="36" spans="2:7" ht="12.75">
      <c r="B36" s="340"/>
      <c r="C36" s="340"/>
      <c r="D36" s="340"/>
      <c r="E36" s="340"/>
      <c r="F36" s="340"/>
      <c r="G36" s="340"/>
    </row>
    <row r="37" spans="2:7" ht="12.75">
      <c r="B37" s="340"/>
      <c r="C37" s="674"/>
      <c r="D37" s="674"/>
      <c r="E37" s="674"/>
      <c r="F37" s="674"/>
      <c r="G37" s="340"/>
    </row>
    <row r="38" spans="2:7" ht="12.75">
      <c r="B38" s="340"/>
      <c r="C38" s="674"/>
      <c r="D38" s="674"/>
      <c r="E38" s="674"/>
      <c r="F38" s="674"/>
      <c r="G38" s="340"/>
    </row>
    <row r="39" spans="2:7" ht="12.75">
      <c r="B39" s="340"/>
      <c r="C39" s="340"/>
      <c r="D39" s="340"/>
      <c r="E39" s="340"/>
      <c r="F39" s="340"/>
      <c r="G39" s="340"/>
    </row>
  </sheetData>
  <sheetProtection sheet="1"/>
  <mergeCells count="18">
    <mergeCell ref="C10:D10"/>
    <mergeCell ref="E10:F10"/>
    <mergeCell ref="C19:D19"/>
    <mergeCell ref="E19:F19"/>
    <mergeCell ref="Q19:R19"/>
    <mergeCell ref="M27:N27"/>
    <mergeCell ref="O27:P27"/>
    <mergeCell ref="Q27:R27"/>
    <mergeCell ref="G19:H19"/>
    <mergeCell ref="I19:J19"/>
    <mergeCell ref="O19:P19"/>
    <mergeCell ref="K19:L19"/>
    <mergeCell ref="M19:N19"/>
    <mergeCell ref="K27:L27"/>
    <mergeCell ref="C27:D27"/>
    <mergeCell ref="E27:F27"/>
    <mergeCell ref="G27:H27"/>
    <mergeCell ref="I27:J27"/>
  </mergeCells>
  <conditionalFormatting sqref="C19:D32">
    <cfRule type="expression" priority="9" dxfId="4" stopIfTrue="1">
      <formula>IF($C$7=1,TRUE,FALSE)</formula>
    </cfRule>
  </conditionalFormatting>
  <conditionalFormatting sqref="E19:F32">
    <cfRule type="expression" priority="8" dxfId="4" stopIfTrue="1">
      <formula>IF($C$7=2,TRUE,FALSE)</formula>
    </cfRule>
  </conditionalFormatting>
  <conditionalFormatting sqref="G19:H32">
    <cfRule type="expression" priority="7" dxfId="4" stopIfTrue="1">
      <formula>IF($C$7=3,TRUE,FALSE)</formula>
    </cfRule>
  </conditionalFormatting>
  <conditionalFormatting sqref="I19:J32">
    <cfRule type="expression" priority="6" dxfId="4" stopIfTrue="1">
      <formula>IF($C$7=4,TRUE,FALSE)</formula>
    </cfRule>
  </conditionalFormatting>
  <conditionalFormatting sqref="K19:L32">
    <cfRule type="expression" priority="5" dxfId="4" stopIfTrue="1">
      <formula>IF($C$7=5,TRUE,FALSE)</formula>
    </cfRule>
  </conditionalFormatting>
  <conditionalFormatting sqref="M19:N32">
    <cfRule type="expression" priority="4" dxfId="4" stopIfTrue="1">
      <formula>IF($C$7=6,TRUE,FALSE)</formula>
    </cfRule>
  </conditionalFormatting>
  <conditionalFormatting sqref="O19:P32">
    <cfRule type="expression" priority="3" dxfId="4" stopIfTrue="1">
      <formula>IF($C$7=7,TRUE,FALSE)</formula>
    </cfRule>
  </conditionalFormatting>
  <conditionalFormatting sqref="Q19:R32">
    <cfRule type="expression" priority="2" dxfId="4" stopIfTrue="1">
      <formula>IF($C$7=8,TRUE,FALSE)</formula>
    </cfRule>
  </conditionalFormatting>
  <dataValidations count="2">
    <dataValidation type="list" allowBlank="1" showInputMessage="1" showErrorMessage="1" sqref="C7">
      <formula1>$X$1:$X$8</formula1>
    </dataValidation>
    <dataValidation type="list" allowBlank="1" showInputMessage="1" showErrorMessage="1" sqref="C8">
      <formula1>$X$10:$X$11</formula1>
    </dataValidation>
  </dataValidations>
  <printOptions/>
  <pageMargins left="0.7" right="0.7" top="0.75" bottom="0.75" header="0.3" footer="0.3"/>
  <pageSetup fitToHeight="1" fitToWidth="1" horizontalDpi="600" verticalDpi="600" orientation="landscape" scale="70" r:id="rId1"/>
</worksheet>
</file>

<file path=xl/worksheets/sheet8.xml><?xml version="1.0" encoding="utf-8"?>
<worksheet xmlns="http://schemas.openxmlformats.org/spreadsheetml/2006/main" xmlns:r="http://schemas.openxmlformats.org/officeDocument/2006/relationships">
  <sheetPr>
    <tabColor rgb="FF993300"/>
    <pageSetUpPr fitToPage="1"/>
  </sheetPr>
  <dimension ref="A1:M35"/>
  <sheetViews>
    <sheetView zoomScalePageLayoutView="0" workbookViewId="0" topLeftCell="A1">
      <selection activeCell="C8" sqref="C8"/>
    </sheetView>
  </sheetViews>
  <sheetFormatPr defaultColWidth="9.140625" defaultRowHeight="12.75"/>
  <cols>
    <col min="1" max="1" width="5.7109375" style="359" customWidth="1"/>
    <col min="2" max="2" width="31.57421875" style="348" bestFit="1" customWidth="1"/>
    <col min="3" max="3" width="44.57421875" style="348" customWidth="1"/>
    <col min="4" max="4" width="38.140625" style="348" customWidth="1"/>
    <col min="5" max="5" width="34.8515625" style="348" customWidth="1"/>
    <col min="6" max="6" width="33.00390625" style="348" bestFit="1" customWidth="1"/>
    <col min="7" max="7" width="9.140625" style="348" customWidth="1"/>
    <col min="8" max="8" width="0" style="348" hidden="1" customWidth="1"/>
    <col min="9" max="16384" width="9.140625" style="348" customWidth="1"/>
  </cols>
  <sheetData>
    <row r="1" spans="1:5" ht="14.25">
      <c r="A1" s="618"/>
      <c r="B1" s="344" t="s">
        <v>212</v>
      </c>
      <c r="C1" s="345"/>
      <c r="D1" s="345"/>
      <c r="E1" s="345"/>
    </row>
    <row r="2" spans="1:8" ht="14.25">
      <c r="A2" s="346">
        <v>1</v>
      </c>
      <c r="B2" s="1323" t="s">
        <v>469</v>
      </c>
      <c r="C2" s="1323"/>
      <c r="D2" s="1323"/>
      <c r="E2" s="1323"/>
      <c r="F2" s="1323"/>
      <c r="H2" s="348">
        <v>80</v>
      </c>
    </row>
    <row r="3" spans="1:8" ht="15" customHeight="1">
      <c r="A3" s="346">
        <v>2</v>
      </c>
      <c r="B3" s="1324" t="s">
        <v>470</v>
      </c>
      <c r="C3" s="1324"/>
      <c r="D3" s="1324"/>
      <c r="E3" s="1324"/>
      <c r="F3" s="1324"/>
      <c r="H3" s="348">
        <v>60</v>
      </c>
    </row>
    <row r="4" spans="1:13" s="352" customFormat="1" ht="16.5" customHeight="1">
      <c r="A4" s="346">
        <v>3</v>
      </c>
      <c r="B4" s="1324" t="s">
        <v>471</v>
      </c>
      <c r="C4" s="1324"/>
      <c r="D4" s="1324"/>
      <c r="E4" s="1324"/>
      <c r="F4" s="1324"/>
      <c r="G4" s="348"/>
      <c r="H4" s="348"/>
      <c r="I4" s="348"/>
      <c r="J4" s="348"/>
      <c r="K4" s="348"/>
      <c r="L4" s="348"/>
      <c r="M4" s="348"/>
    </row>
    <row r="5" spans="1:13" s="352" customFormat="1" ht="15" customHeight="1">
      <c r="A5" s="347">
        <v>4</v>
      </c>
      <c r="B5" s="1324" t="s">
        <v>925</v>
      </c>
      <c r="C5" s="1324"/>
      <c r="D5" s="1324"/>
      <c r="E5" s="1324"/>
      <c r="F5" s="1324"/>
      <c r="G5" s="348"/>
      <c r="H5" s="348"/>
      <c r="I5" s="348"/>
      <c r="J5" s="348"/>
      <c r="K5" s="348"/>
      <c r="L5" s="348"/>
      <c r="M5" s="348"/>
    </row>
    <row r="6" spans="1:13" s="352" customFormat="1" ht="39.75" customHeight="1">
      <c r="A6" s="347">
        <v>5</v>
      </c>
      <c r="B6" s="1324" t="s">
        <v>472</v>
      </c>
      <c r="C6" s="1324"/>
      <c r="D6" s="1324"/>
      <c r="E6" s="1324"/>
      <c r="F6" s="1324"/>
      <c r="G6" s="348"/>
      <c r="H6" s="348"/>
      <c r="I6" s="348"/>
      <c r="J6" s="348"/>
      <c r="K6" s="348"/>
      <c r="L6" s="348"/>
      <c r="M6" s="348"/>
    </row>
    <row r="7" spans="1:13" s="352" customFormat="1" ht="14.25">
      <c r="A7" s="347">
        <v>6</v>
      </c>
      <c r="B7" s="1324" t="s">
        <v>488</v>
      </c>
      <c r="C7" s="1324"/>
      <c r="D7" s="1324"/>
      <c r="E7" s="1324"/>
      <c r="F7" s="1324"/>
      <c r="G7" s="690"/>
      <c r="H7" s="348"/>
      <c r="I7" s="348"/>
      <c r="J7" s="348"/>
      <c r="K7" s="348"/>
      <c r="L7" s="348"/>
      <c r="M7" s="348"/>
    </row>
    <row r="8" spans="2:6" ht="18" customHeight="1">
      <c r="B8" s="349" t="s">
        <v>489</v>
      </c>
      <c r="C8" s="811"/>
      <c r="D8" s="350"/>
      <c r="E8" s="350"/>
      <c r="F8" s="350"/>
    </row>
    <row r="9" spans="2:6" ht="17.25" customHeight="1">
      <c r="B9" s="349" t="s">
        <v>473</v>
      </c>
      <c r="C9" s="351">
        <f>2*'Basic Info'!C7+2*'Basic Info'!C8+3*'Basic Info'!C9+4*'Basic Info'!C10+5*'Basic Info'!C11</f>
        <v>0</v>
      </c>
      <c r="E9" s="352"/>
      <c r="F9" s="352"/>
    </row>
    <row r="10" spans="2:6" ht="16.5" customHeight="1">
      <c r="B10" s="349" t="s">
        <v>474</v>
      </c>
      <c r="C10" s="351">
        <f>IF('DHW Demand'!G14="Y",430*'DHW Demand'!G21,0)</f>
        <v>0</v>
      </c>
      <c r="E10" s="353"/>
      <c r="F10" s="691"/>
    </row>
    <row r="11" spans="2:6" ht="16.5" customHeight="1">
      <c r="B11" s="349" t="s">
        <v>475</v>
      </c>
      <c r="C11" s="351">
        <f>('DHW Demand'!G10-'DHW Demand'!G11)*'DHW Demand'!G22</f>
        <v>0</v>
      </c>
      <c r="E11" s="353"/>
      <c r="F11" s="691"/>
    </row>
    <row r="12" spans="5:7" ht="14.25">
      <c r="E12" s="354"/>
      <c r="F12" s="691"/>
      <c r="G12" s="690"/>
    </row>
    <row r="13" spans="2:6" ht="14.25">
      <c r="B13" s="355" t="s">
        <v>476</v>
      </c>
      <c r="D13" s="356" t="s">
        <v>485</v>
      </c>
      <c r="E13" s="357" t="s">
        <v>477</v>
      </c>
      <c r="F13" s="352"/>
    </row>
    <row r="14" spans="2:6" ht="17.25" customHeight="1" thickBot="1">
      <c r="B14" s="358" t="s">
        <v>265</v>
      </c>
      <c r="C14" s="359" t="s">
        <v>638</v>
      </c>
      <c r="D14" s="360">
        <v>1.6</v>
      </c>
      <c r="E14" s="641">
        <f>'Tables of Values'!B3*($C$9*'Tables of Values'!E13-C15)*365</f>
        <v>0</v>
      </c>
      <c r="F14" s="352"/>
    </row>
    <row r="15" spans="2:5" ht="17.25" customHeight="1" thickBot="1">
      <c r="B15" s="362" t="s">
        <v>266</v>
      </c>
      <c r="C15" s="812"/>
      <c r="D15" s="363">
        <v>1</v>
      </c>
      <c r="E15" s="641">
        <f>C15*'Tables of Values'!B4*365</f>
        <v>0</v>
      </c>
    </row>
    <row r="16" spans="2:5" ht="16.5" customHeight="1">
      <c r="B16" s="358" t="s">
        <v>146</v>
      </c>
      <c r="D16" s="360">
        <f>IF(A24=80,2.5,2.2)</f>
        <v>2.2</v>
      </c>
      <c r="E16" s="641">
        <f>$C$9*D16*365/60*IF('DHW Demand'!G3="Low",'Tables of Values'!B16,IF('DHW Demand'!G3="Medium",'Tables of Values'!C16,IF('DHW Demand'!G3="High",'Tables of Values'!D16)))</f>
        <v>0</v>
      </c>
    </row>
    <row r="17" spans="2:5" ht="16.5" customHeight="1">
      <c r="B17" s="358" t="s">
        <v>147</v>
      </c>
      <c r="D17" s="360">
        <f>IF(A25=80,2.5,2.2)</f>
        <v>2.2</v>
      </c>
      <c r="E17" s="641">
        <f>$C$9*D17*365/60*'Tables of Values'!E17*IF('DHW Demand'!G3="Low",'Tables of Values'!B17,IF('DHW Demand'!G3="Medium",'Tables of Values'!C17,IF('DHW Demand'!G3="High",'Tables of Values'!D17)))</f>
        <v>0</v>
      </c>
    </row>
    <row r="18" spans="2:7" ht="14.25">
      <c r="B18" s="358" t="s">
        <v>148</v>
      </c>
      <c r="D18" s="360">
        <f>IF(A26=80,2.5,2.2)</f>
        <v>2.2</v>
      </c>
      <c r="E18" s="641">
        <f>$C$9*D18*365/60*'Tables of Values'!E18*IF('DHW Demand'!G3="Low",'Tables of Values'!B18,IF('DHW Demand'!G3="Medium",'Tables of Values'!C18,IF('DHW Demand'!G3="High",'Tables of Values'!D18)))</f>
        <v>0</v>
      </c>
      <c r="G18" s="690"/>
    </row>
    <row r="19" spans="2:5" ht="14.25">
      <c r="B19" s="364" t="s">
        <v>292</v>
      </c>
      <c r="E19" s="642">
        <f>SUM(E14:E18)</f>
        <v>0</v>
      </c>
    </row>
    <row r="20" ht="14.25">
      <c r="B20" s="366"/>
    </row>
    <row r="21" spans="1:5" ht="15" thickBot="1">
      <c r="A21" s="368" t="s">
        <v>896</v>
      </c>
      <c r="B21" s="355" t="s">
        <v>478</v>
      </c>
      <c r="C21" s="367" t="s">
        <v>479</v>
      </c>
      <c r="D21" s="367" t="s">
        <v>480</v>
      </c>
      <c r="E21" s="368" t="s">
        <v>481</v>
      </c>
    </row>
    <row r="22" spans="1:5" ht="15" thickBot="1">
      <c r="A22" s="619"/>
      <c r="B22" s="362" t="s">
        <v>265</v>
      </c>
      <c r="C22" s="813"/>
      <c r="D22" s="813"/>
      <c r="E22" s="361">
        <f>(C22*($C$9*'Tables of Values'!E13-C15)*365)-D22</f>
        <v>0</v>
      </c>
    </row>
    <row r="23" spans="1:5" ht="15" thickBot="1">
      <c r="A23" s="619"/>
      <c r="B23" s="362" t="s">
        <v>266</v>
      </c>
      <c r="C23" s="813"/>
      <c r="D23" s="813"/>
      <c r="E23" s="361">
        <f>(C23*C15*365)-D23</f>
        <v>0</v>
      </c>
    </row>
    <row r="24" spans="1:5" ht="15" thickBot="1">
      <c r="A24" s="815"/>
      <c r="B24" s="643" t="s">
        <v>897</v>
      </c>
      <c r="C24" s="814"/>
      <c r="D24" s="813"/>
      <c r="E24" s="646">
        <f>($C$9*C24*'Tables of Values'!E16*365/60*IF('DHW Demand'!G3="Low",'Tables of Values'!B16,IF('DHW Demand'!G3="Medium",'Tables of Values'!C16,IF('DHW Demand'!G3="High",'Tables of Values'!D16)))-D24)</f>
        <v>0</v>
      </c>
    </row>
    <row r="25" spans="1:6" ht="15" thickBot="1">
      <c r="A25" s="816"/>
      <c r="B25" s="643" t="s">
        <v>147</v>
      </c>
      <c r="C25" s="814"/>
      <c r="D25" s="813"/>
      <c r="E25" s="646">
        <f>($C$9*C25*365/60*'Tables of Values'!E17*IF('DHW Demand'!G3="Low",'Tables of Values'!B17,IF('DHW Demand'!G3="Medium",'Tables of Values'!C17,IF('DHW Demand'!G3="High",'Tables of Values'!D17)))-D25)</f>
        <v>0</v>
      </c>
      <c r="F25" s="690"/>
    </row>
    <row r="26" spans="1:5" ht="15" thickBot="1">
      <c r="A26" s="817"/>
      <c r="B26" s="643" t="s">
        <v>148</v>
      </c>
      <c r="C26" s="814"/>
      <c r="D26" s="813"/>
      <c r="E26" s="361">
        <f>($C$9*C26*365/60*'Tables of Values'!E18*IF('DHW Demand'!G3="Low",'Tables of Values'!B18,IF('DHW Demand'!G3="Medium",'Tables of Values'!C18,IF('DHW Demand'!G3="High",'Tables of Values'!D18)))-D26)</f>
        <v>0</v>
      </c>
    </row>
    <row r="27" spans="2:5" ht="14.25">
      <c r="B27" s="355" t="s">
        <v>292</v>
      </c>
      <c r="E27" s="365">
        <f>SUM(E22:E26)</f>
        <v>0</v>
      </c>
    </row>
    <row r="29" spans="2:4" ht="14.25">
      <c r="B29" s="355" t="s">
        <v>482</v>
      </c>
      <c r="C29" s="368" t="s">
        <v>483</v>
      </c>
      <c r="D29" s="368" t="s">
        <v>484</v>
      </c>
    </row>
    <row r="30" spans="2:4" ht="14.25">
      <c r="B30" s="369" t="s">
        <v>265</v>
      </c>
      <c r="C30" s="370">
        <f>E14-E22</f>
        <v>0</v>
      </c>
      <c r="D30" s="371">
        <f aca="true" t="shared" si="0" ref="D30:D35">C30*$C$8</f>
        <v>0</v>
      </c>
    </row>
    <row r="31" spans="2:6" ht="14.25">
      <c r="B31" s="369" t="s">
        <v>266</v>
      </c>
      <c r="C31" s="370">
        <f>E15-E23</f>
        <v>0</v>
      </c>
      <c r="D31" s="371">
        <f t="shared" si="0"/>
        <v>0</v>
      </c>
      <c r="F31" s="690"/>
    </row>
    <row r="32" spans="2:4" ht="14.25">
      <c r="B32" s="369" t="s">
        <v>146</v>
      </c>
      <c r="C32" s="370">
        <f>E16-E24</f>
        <v>0</v>
      </c>
      <c r="D32" s="371">
        <f t="shared" si="0"/>
        <v>0</v>
      </c>
    </row>
    <row r="33" spans="2:4" ht="14.25">
      <c r="B33" s="369" t="s">
        <v>147</v>
      </c>
      <c r="C33" s="370">
        <f>E17-E25</f>
        <v>0</v>
      </c>
      <c r="D33" s="371">
        <f t="shared" si="0"/>
        <v>0</v>
      </c>
    </row>
    <row r="34" spans="2:4" ht="14.25">
      <c r="B34" s="369" t="s">
        <v>148</v>
      </c>
      <c r="C34" s="370">
        <f>E18-E26</f>
        <v>0</v>
      </c>
      <c r="D34" s="371">
        <f t="shared" si="0"/>
        <v>0</v>
      </c>
    </row>
    <row r="35" spans="2:4" ht="14.25">
      <c r="B35" s="355" t="s">
        <v>292</v>
      </c>
      <c r="C35" s="372">
        <f>SUM(C30:C34,C10:C11)</f>
        <v>0</v>
      </c>
      <c r="D35" s="373">
        <f t="shared" si="0"/>
        <v>0</v>
      </c>
    </row>
  </sheetData>
  <sheetProtection sheet="1"/>
  <mergeCells count="6">
    <mergeCell ref="B2:F2"/>
    <mergeCell ref="B3:F3"/>
    <mergeCell ref="B4:F4"/>
    <mergeCell ref="B5:F5"/>
    <mergeCell ref="B6:F6"/>
    <mergeCell ref="B7:F7"/>
  </mergeCells>
  <dataValidations count="1">
    <dataValidation type="list" allowBlank="1" showInputMessage="1" showErrorMessage="1" sqref="A24:A26">
      <formula1>$H$2:$H$3</formula1>
    </dataValidation>
  </dataValidations>
  <printOptions/>
  <pageMargins left="0.7" right="0.7" top="0.75" bottom="0.75" header="0.3" footer="0.3"/>
  <pageSetup fitToHeight="1" fitToWidth="1"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tabColor indexed="60"/>
    <pageSetUpPr fitToPage="1"/>
  </sheetPr>
  <dimension ref="A1:AA42"/>
  <sheetViews>
    <sheetView zoomScalePageLayoutView="0" workbookViewId="0" topLeftCell="A1">
      <selection activeCell="G3" sqref="G3"/>
    </sheetView>
  </sheetViews>
  <sheetFormatPr defaultColWidth="9.140625" defaultRowHeight="12.75"/>
  <cols>
    <col min="1" max="1" width="2.00390625" style="14" bestFit="1" customWidth="1"/>
    <col min="2" max="2" width="29.8515625" style="14" customWidth="1"/>
    <col min="3" max="3" width="16.140625" style="14" customWidth="1"/>
    <col min="4" max="4" width="10.8515625" style="14" customWidth="1"/>
    <col min="5" max="5" width="11.8515625" style="14" customWidth="1"/>
    <col min="6" max="6" width="14.00390625" style="14" customWidth="1"/>
    <col min="7" max="7" width="10.57421875" style="14" bestFit="1" customWidth="1"/>
    <col min="8" max="9" width="9.140625" style="14" customWidth="1"/>
    <col min="10" max="10" width="5.00390625" style="14" customWidth="1"/>
    <col min="11" max="14" width="9.140625" style="14" customWidth="1"/>
    <col min="15" max="15" width="10.57421875" style="14" customWidth="1"/>
    <col min="16" max="25" width="9.140625" style="14" customWidth="1"/>
    <col min="26" max="27" width="9.140625" style="14" hidden="1" customWidth="1"/>
    <col min="28" max="16384" width="9.140625" style="14" customWidth="1"/>
  </cols>
  <sheetData>
    <row r="1" ht="12.75">
      <c r="B1" s="15" t="s">
        <v>346</v>
      </c>
    </row>
    <row r="2" spans="1:27" ht="12.75">
      <c r="A2" s="14">
        <v>1</v>
      </c>
      <c r="B2" s="16" t="s">
        <v>498</v>
      </c>
      <c r="F2" s="374"/>
      <c r="Z2" s="16" t="s">
        <v>492</v>
      </c>
      <c r="AA2" s="14" t="s">
        <v>326</v>
      </c>
    </row>
    <row r="3" spans="1:27" ht="12.75">
      <c r="A3" s="14">
        <v>2</v>
      </c>
      <c r="B3" s="375" t="s">
        <v>347</v>
      </c>
      <c r="C3" s="375"/>
      <c r="D3" s="375"/>
      <c r="F3" s="446" t="s">
        <v>491</v>
      </c>
      <c r="G3" s="818"/>
      <c r="H3" s="551" t="s">
        <v>715</v>
      </c>
      <c r="Z3" s="16" t="s">
        <v>493</v>
      </c>
      <c r="AA3" s="14" t="s">
        <v>333</v>
      </c>
    </row>
    <row r="4" spans="1:26" ht="12.75">
      <c r="A4" s="14">
        <v>3</v>
      </c>
      <c r="B4" s="376" t="s">
        <v>490</v>
      </c>
      <c r="C4" s="377"/>
      <c r="D4" s="377"/>
      <c r="G4" s="457" t="e">
        <f>(HLOOKUP(G3,'Tables of Values'!$B$12:$D$15,4,FALSE)*'Tables of Values'!E16)</f>
        <v>#N/A</v>
      </c>
      <c r="H4" s="16" t="s">
        <v>495</v>
      </c>
      <c r="L4" s="402"/>
      <c r="M4" s="402"/>
      <c r="N4" s="402"/>
      <c r="O4" s="402"/>
      <c r="P4" s="402"/>
      <c r="Q4" s="640"/>
      <c r="Z4" s="16" t="s">
        <v>494</v>
      </c>
    </row>
    <row r="5" ht="12.75"/>
    <row r="6" spans="2:8" ht="15">
      <c r="B6" s="378"/>
      <c r="C6" s="379" t="s">
        <v>207</v>
      </c>
      <c r="D6" s="379" t="s">
        <v>206</v>
      </c>
      <c r="F6" s="14" t="s">
        <v>77</v>
      </c>
      <c r="G6" s="380">
        <f>'Water Savings'!C26</f>
        <v>0</v>
      </c>
      <c r="H6" s="14" t="s">
        <v>78</v>
      </c>
    </row>
    <row r="7" spans="2:8" ht="12.75">
      <c r="B7" s="386" t="s">
        <v>899</v>
      </c>
      <c r="C7" s="381" t="e">
        <f>($G$6*$G$18+$G$7*$G$19)/($G$18+$G$19)</f>
        <v>#DIV/0!</v>
      </c>
      <c r="D7" s="590" t="e">
        <f>((G19*IF('Water Savings'!$A$25=80,2.5,IF('Water Savings'!$A$25=60,2.2)))+(G18*IF('Water Savings'!$A$26=80,2.5,IF('Water Savings'!$A$26=60,2.2))))/(G18+G19)</f>
        <v>#DIV/0!</v>
      </c>
      <c r="F7" s="14" t="s">
        <v>80</v>
      </c>
      <c r="G7" s="380">
        <f>'Water Savings'!C25</f>
        <v>0</v>
      </c>
      <c r="H7" s="14" t="s">
        <v>78</v>
      </c>
    </row>
    <row r="8" spans="2:11" ht="12.75">
      <c r="B8" s="620" t="s">
        <v>898</v>
      </c>
      <c r="C8" s="380">
        <f>'Water Savings'!C24</f>
        <v>0</v>
      </c>
      <c r="D8" s="590" t="b">
        <f>IF('Water Savings'!$A$24=80,2.5,IF('Water Savings'!$A$24=60,2.2))</f>
        <v>0</v>
      </c>
      <c r="F8" s="14" t="s">
        <v>191</v>
      </c>
      <c r="G8" s="14">
        <f>IF(G14="Y",1290,0)</f>
        <v>0</v>
      </c>
      <c r="H8" s="14" t="s">
        <v>192</v>
      </c>
      <c r="J8" s="385">
        <f>G8/365</f>
        <v>0</v>
      </c>
      <c r="K8" s="14" t="s">
        <v>193</v>
      </c>
    </row>
    <row r="9" spans="2:15" ht="14.25">
      <c r="B9" s="386" t="s">
        <v>496</v>
      </c>
      <c r="C9" s="387" t="e">
        <f>D9*(0.36+0.54*C8/D8+0.1*C7/D7)</f>
        <v>#N/A</v>
      </c>
      <c r="D9" s="382" t="e">
        <f>G4*G16</f>
        <v>#N/A</v>
      </c>
      <c r="E9" s="388"/>
      <c r="F9" s="14" t="s">
        <v>194</v>
      </c>
      <c r="G9" s="14">
        <f>IF(G15="Y",860,IF(G15="NA",0,1290))</f>
        <v>1290</v>
      </c>
      <c r="H9" s="14" t="s">
        <v>192</v>
      </c>
      <c r="J9" s="385">
        <f>G9/365</f>
        <v>3.5342465753424657</v>
      </c>
      <c r="K9" s="14" t="s">
        <v>193</v>
      </c>
      <c r="O9" s="389"/>
    </row>
    <row r="10" spans="2:12" ht="14.25">
      <c r="B10" s="386" t="s">
        <v>907</v>
      </c>
      <c r="C10" s="390" t="e">
        <f>$C$9+$K$11+J9*G21</f>
        <v>#N/A</v>
      </c>
      <c r="D10" s="391" t="e">
        <f>$D$9+$K$10+J8*G21</f>
        <v>#N/A</v>
      </c>
      <c r="E10" s="392"/>
      <c r="F10" s="14" t="s">
        <v>262</v>
      </c>
      <c r="G10" s="393">
        <f>IF($G$22=0,0,IF($G$25="Common",0.2*29515,0.2*12179))</f>
        <v>0</v>
      </c>
      <c r="H10" s="14" t="s">
        <v>263</v>
      </c>
      <c r="K10" s="393">
        <f>G10*G22/365</f>
        <v>0</v>
      </c>
      <c r="L10" s="16" t="s">
        <v>497</v>
      </c>
    </row>
    <row r="11" spans="2:12" ht="12.75">
      <c r="B11" s="386" t="s">
        <v>236</v>
      </c>
      <c r="C11" s="645" t="e">
        <f>C10/$B$39/60</f>
        <v>#N/A</v>
      </c>
      <c r="D11" s="645" t="e">
        <f>D10/$B$39/60</f>
        <v>#N/A</v>
      </c>
      <c r="F11" s="14" t="s">
        <v>264</v>
      </c>
      <c r="G11" s="393">
        <f>IF($G$22=0,0,IF($G$23="N",$G$10,IF($G$25="Common",0.2*13661,0.2*5637)))</f>
        <v>0</v>
      </c>
      <c r="H11" s="14" t="s">
        <v>263</v>
      </c>
      <c r="K11" s="393">
        <f>G11*G22/365</f>
        <v>0</v>
      </c>
      <c r="L11" s="16" t="s">
        <v>497</v>
      </c>
    </row>
    <row r="12" spans="2:11" ht="12.75">
      <c r="B12" s="382"/>
      <c r="C12" s="382"/>
      <c r="D12" s="382"/>
      <c r="G12" s="393"/>
      <c r="K12" s="393"/>
    </row>
    <row r="13" spans="7:11" ht="13.5" thickBot="1">
      <c r="G13" s="393"/>
      <c r="K13" s="393"/>
    </row>
    <row r="14" spans="2:8" ht="13.5" thickBot="1">
      <c r="B14" s="394" t="s">
        <v>237</v>
      </c>
      <c r="C14" s="378" t="s">
        <v>238</v>
      </c>
      <c r="D14" s="395" t="s">
        <v>207</v>
      </c>
      <c r="E14" s="396" t="s">
        <v>206</v>
      </c>
      <c r="G14" s="819"/>
      <c r="H14" s="14" t="s">
        <v>59</v>
      </c>
    </row>
    <row r="15" spans="2:8" ht="13.5" thickBot="1">
      <c r="B15" s="397">
        <v>0.05</v>
      </c>
      <c r="C15" s="382">
        <v>0</v>
      </c>
      <c r="D15" s="398" t="e">
        <f>B15*$C$11*60</f>
        <v>#N/A</v>
      </c>
      <c r="E15" s="398" t="e">
        <f>B15*$D$11*60</f>
        <v>#N/A</v>
      </c>
      <c r="G15" s="819"/>
      <c r="H15" s="14" t="s">
        <v>214</v>
      </c>
    </row>
    <row r="16" spans="2:8" ht="12.75">
      <c r="B16" s="397">
        <v>0.05</v>
      </c>
      <c r="C16" s="382">
        <f>C15+1</f>
        <v>1</v>
      </c>
      <c r="D16" s="398" t="e">
        <f aca="true" t="shared" si="0" ref="D16:D38">B16*$C$11*60</f>
        <v>#N/A</v>
      </c>
      <c r="E16" s="398" t="e">
        <f aca="true" t="shared" si="1" ref="E16:E38">B16*$D$11*60</f>
        <v>#N/A</v>
      </c>
      <c r="G16" s="399">
        <f>'Basic Info'!C7+'Basic Info'!C8+2*'Basic Info'!C9+3*'Basic Info'!C10+4*'Basic Info'!C11</f>
        <v>0</v>
      </c>
      <c r="H16" s="14" t="s">
        <v>74</v>
      </c>
    </row>
    <row r="17" spans="2:14" ht="13.5" thickBot="1">
      <c r="B17" s="397">
        <v>0.05</v>
      </c>
      <c r="C17" s="382">
        <f aca="true" t="shared" si="2" ref="C17:C37">C16+1</f>
        <v>2</v>
      </c>
      <c r="D17" s="398" t="e">
        <f t="shared" si="0"/>
        <v>#N/A</v>
      </c>
      <c r="E17" s="398" t="e">
        <f t="shared" si="1"/>
        <v>#N/A</v>
      </c>
      <c r="G17" s="399">
        <f>SUM('Basic Info'!C7:C11)</f>
        <v>0</v>
      </c>
      <c r="H17" s="14" t="s">
        <v>75</v>
      </c>
      <c r="J17" s="389"/>
      <c r="N17" s="551"/>
    </row>
    <row r="18" spans="2:12" ht="13.5" thickBot="1">
      <c r="B18" s="397">
        <v>0.05</v>
      </c>
      <c r="C18" s="382">
        <f t="shared" si="2"/>
        <v>3</v>
      </c>
      <c r="D18" s="398" t="e">
        <f t="shared" si="0"/>
        <v>#N/A</v>
      </c>
      <c r="E18" s="398" t="e">
        <f t="shared" si="1"/>
        <v>#N/A</v>
      </c>
      <c r="G18" s="795"/>
      <c r="H18" s="14" t="s">
        <v>79</v>
      </c>
      <c r="K18" s="795"/>
      <c r="L18" s="14" t="s">
        <v>749</v>
      </c>
    </row>
    <row r="19" spans="2:12" ht="13.5" thickBot="1">
      <c r="B19" s="397">
        <v>0.05</v>
      </c>
      <c r="C19" s="382">
        <f t="shared" si="2"/>
        <v>4</v>
      </c>
      <c r="D19" s="398" t="e">
        <f t="shared" si="0"/>
        <v>#N/A</v>
      </c>
      <c r="E19" s="398" t="e">
        <f t="shared" si="1"/>
        <v>#N/A</v>
      </c>
      <c r="G19" s="820"/>
      <c r="H19" s="14" t="s">
        <v>81</v>
      </c>
      <c r="K19" s="820"/>
      <c r="L19" s="14" t="s">
        <v>750</v>
      </c>
    </row>
    <row r="20" spans="2:5" ht="13.5" thickBot="1">
      <c r="B20" s="397">
        <v>0.05</v>
      </c>
      <c r="C20" s="382">
        <f t="shared" si="2"/>
        <v>5</v>
      </c>
      <c r="D20" s="398" t="e">
        <f t="shared" si="0"/>
        <v>#N/A</v>
      </c>
      <c r="E20" s="398" t="e">
        <f t="shared" si="1"/>
        <v>#N/A</v>
      </c>
    </row>
    <row r="21" spans="2:8" ht="13.5" thickBot="1">
      <c r="B21" s="397">
        <v>0.3</v>
      </c>
      <c r="C21" s="382">
        <f t="shared" si="2"/>
        <v>6</v>
      </c>
      <c r="D21" s="398" t="e">
        <f t="shared" si="0"/>
        <v>#N/A</v>
      </c>
      <c r="E21" s="398" t="e">
        <f t="shared" si="1"/>
        <v>#N/A</v>
      </c>
      <c r="G21" s="795"/>
      <c r="H21" s="16" t="s">
        <v>128</v>
      </c>
    </row>
    <row r="22" spans="2:8" ht="13.5" thickBot="1">
      <c r="B22" s="397">
        <v>0.5</v>
      </c>
      <c r="C22" s="382">
        <f t="shared" si="2"/>
        <v>7</v>
      </c>
      <c r="D22" s="398" t="e">
        <f t="shared" si="0"/>
        <v>#N/A</v>
      </c>
      <c r="E22" s="398" t="e">
        <f t="shared" si="1"/>
        <v>#N/A</v>
      </c>
      <c r="G22" s="795"/>
      <c r="H22" s="14" t="s">
        <v>76</v>
      </c>
    </row>
    <row r="23" spans="2:8" ht="13.5" thickBot="1">
      <c r="B23" s="397">
        <v>0.4</v>
      </c>
      <c r="C23" s="382">
        <f t="shared" si="2"/>
        <v>8</v>
      </c>
      <c r="D23" s="398" t="e">
        <f t="shared" si="0"/>
        <v>#N/A</v>
      </c>
      <c r="E23" s="398" t="e">
        <f t="shared" si="1"/>
        <v>#N/A</v>
      </c>
      <c r="F23" s="400"/>
      <c r="G23" s="819"/>
      <c r="H23" s="14" t="s">
        <v>214</v>
      </c>
    </row>
    <row r="24" spans="2:7" ht="13.5" thickBot="1">
      <c r="B24" s="397">
        <v>0.3</v>
      </c>
      <c r="C24" s="382">
        <f t="shared" si="2"/>
        <v>9</v>
      </c>
      <c r="D24" s="398" t="e">
        <f t="shared" si="0"/>
        <v>#N/A</v>
      </c>
      <c r="E24" s="398" t="e">
        <f t="shared" si="1"/>
        <v>#N/A</v>
      </c>
      <c r="F24" s="400"/>
      <c r="G24" s="401"/>
    </row>
    <row r="25" spans="2:8" ht="13.5" thickBot="1">
      <c r="B25" s="397">
        <v>0.3</v>
      </c>
      <c r="C25" s="382">
        <f t="shared" si="2"/>
        <v>10</v>
      </c>
      <c r="D25" s="398" t="e">
        <f t="shared" si="0"/>
        <v>#N/A</v>
      </c>
      <c r="E25" s="398" t="e">
        <f t="shared" si="1"/>
        <v>#N/A</v>
      </c>
      <c r="G25" s="821"/>
      <c r="H25" s="402" t="s">
        <v>170</v>
      </c>
    </row>
    <row r="26" spans="2:5" ht="12.75">
      <c r="B26" s="397">
        <v>0.35</v>
      </c>
      <c r="C26" s="382">
        <f t="shared" si="2"/>
        <v>11</v>
      </c>
      <c r="D26" s="398" t="e">
        <f t="shared" si="0"/>
        <v>#N/A</v>
      </c>
      <c r="E26" s="398" t="e">
        <f t="shared" si="1"/>
        <v>#N/A</v>
      </c>
    </row>
    <row r="27" spans="2:8" ht="13.5" thickBot="1">
      <c r="B27" s="397">
        <v>0.4</v>
      </c>
      <c r="C27" s="382">
        <f t="shared" si="2"/>
        <v>12</v>
      </c>
      <c r="D27" s="398" t="e">
        <f t="shared" si="0"/>
        <v>#N/A</v>
      </c>
      <c r="E27" s="398" t="e">
        <f t="shared" si="1"/>
        <v>#N/A</v>
      </c>
      <c r="H27" s="570" t="s">
        <v>755</v>
      </c>
    </row>
    <row r="28" spans="2:13" ht="13.5" thickBot="1">
      <c r="B28" s="397">
        <v>0.35</v>
      </c>
      <c r="C28" s="382">
        <f t="shared" si="2"/>
        <v>13</v>
      </c>
      <c r="D28" s="398" t="e">
        <f t="shared" si="0"/>
        <v>#N/A</v>
      </c>
      <c r="E28" s="398" t="e">
        <f t="shared" si="1"/>
        <v>#N/A</v>
      </c>
      <c r="G28" s="795"/>
      <c r="H28" s="14" t="s">
        <v>267</v>
      </c>
      <c r="L28" s="91">
        <v>1.25</v>
      </c>
      <c r="M28" s="14" t="s">
        <v>269</v>
      </c>
    </row>
    <row r="29" spans="2:13" ht="13.5" thickBot="1">
      <c r="B29" s="397">
        <v>0.35</v>
      </c>
      <c r="C29" s="382">
        <f t="shared" si="2"/>
        <v>14</v>
      </c>
      <c r="D29" s="398" t="e">
        <f t="shared" si="0"/>
        <v>#N/A</v>
      </c>
      <c r="E29" s="398" t="e">
        <f t="shared" si="1"/>
        <v>#N/A</v>
      </c>
      <c r="G29" s="403">
        <f>G28*0.13368</f>
        <v>0</v>
      </c>
      <c r="H29" s="14" t="s">
        <v>271</v>
      </c>
      <c r="L29" s="403">
        <f>G29/((22/7)*L28^2)</f>
        <v>0</v>
      </c>
      <c r="M29" s="14" t="s">
        <v>270</v>
      </c>
    </row>
    <row r="30" spans="2:8" ht="13.5" thickBot="1">
      <c r="B30" s="397">
        <v>0.3</v>
      </c>
      <c r="C30" s="382">
        <f t="shared" si="2"/>
        <v>15</v>
      </c>
      <c r="D30" s="398" t="e">
        <f t="shared" si="0"/>
        <v>#N/A</v>
      </c>
      <c r="E30" s="398" t="e">
        <f t="shared" si="1"/>
        <v>#N/A</v>
      </c>
      <c r="G30" s="404">
        <v>12.5</v>
      </c>
      <c r="H30" s="14" t="s">
        <v>314</v>
      </c>
    </row>
    <row r="31" spans="2:12" ht="13.5" thickBot="1">
      <c r="B31" s="397">
        <v>0.3</v>
      </c>
      <c r="C31" s="382">
        <f t="shared" si="2"/>
        <v>16</v>
      </c>
      <c r="D31" s="398" t="e">
        <f t="shared" si="0"/>
        <v>#N/A</v>
      </c>
      <c r="E31" s="398" t="e">
        <f t="shared" si="1"/>
        <v>#N/A</v>
      </c>
      <c r="G31" s="403">
        <f>2*(22/7)*L28^2+(22/7)*2*L28*L29</f>
        <v>9.821428571428571</v>
      </c>
      <c r="H31" s="14" t="s">
        <v>268</v>
      </c>
      <c r="K31" s="574" t="s">
        <v>759</v>
      </c>
      <c r="L31" s="573" t="s">
        <v>758</v>
      </c>
    </row>
    <row r="32" spans="2:12" ht="13.5" thickBot="1">
      <c r="B32" s="397">
        <v>0.5</v>
      </c>
      <c r="C32" s="382">
        <f t="shared" si="2"/>
        <v>17</v>
      </c>
      <c r="D32" s="398" t="e">
        <f t="shared" si="0"/>
        <v>#N/A</v>
      </c>
      <c r="E32" s="398" t="e">
        <f t="shared" si="1"/>
        <v>#N/A</v>
      </c>
      <c r="G32" s="405">
        <f>G31/G30</f>
        <v>0.7857142857142857</v>
      </c>
      <c r="H32" s="14" t="s">
        <v>189</v>
      </c>
      <c r="K32" s="795"/>
      <c r="L32" s="572" t="e">
        <f>1/(K32/100)</f>
        <v>#DIV/0!</v>
      </c>
    </row>
    <row r="33" spans="2:5" ht="12.75">
      <c r="B33" s="397">
        <v>0.5</v>
      </c>
      <c r="C33" s="382">
        <f t="shared" si="2"/>
        <v>18</v>
      </c>
      <c r="D33" s="398" t="e">
        <f t="shared" si="0"/>
        <v>#N/A</v>
      </c>
      <c r="E33" s="398" t="e">
        <f t="shared" si="1"/>
        <v>#N/A</v>
      </c>
    </row>
    <row r="34" spans="2:8" ht="12.75">
      <c r="B34" s="397">
        <v>0.4</v>
      </c>
      <c r="C34" s="382">
        <f t="shared" si="2"/>
        <v>19</v>
      </c>
      <c r="D34" s="398" t="e">
        <f t="shared" si="0"/>
        <v>#N/A</v>
      </c>
      <c r="E34" s="398" t="e">
        <f t="shared" si="1"/>
        <v>#N/A</v>
      </c>
      <c r="H34" s="570" t="s">
        <v>757</v>
      </c>
    </row>
    <row r="35" spans="2:11" ht="13.5" thickBot="1">
      <c r="B35" s="397">
        <v>0.35</v>
      </c>
      <c r="C35" s="382">
        <f t="shared" si="2"/>
        <v>20</v>
      </c>
      <c r="D35" s="398" t="e">
        <f t="shared" si="0"/>
        <v>#N/A</v>
      </c>
      <c r="E35" s="398" t="e">
        <f t="shared" si="1"/>
        <v>#N/A</v>
      </c>
      <c r="H35" s="571" t="s">
        <v>756</v>
      </c>
      <c r="I35" s="551" t="s">
        <v>219</v>
      </c>
      <c r="J35" s="574" t="s">
        <v>460</v>
      </c>
      <c r="K35" s="573" t="s">
        <v>758</v>
      </c>
    </row>
    <row r="36" spans="2:11" ht="13.5" thickBot="1">
      <c r="B36" s="397">
        <v>0.45</v>
      </c>
      <c r="C36" s="382">
        <f t="shared" si="2"/>
        <v>21</v>
      </c>
      <c r="D36" s="398" t="e">
        <f t="shared" si="0"/>
        <v>#N/A</v>
      </c>
      <c r="E36" s="398" t="e">
        <f t="shared" si="1"/>
        <v>#N/A</v>
      </c>
      <c r="G36" s="551" t="s">
        <v>206</v>
      </c>
      <c r="H36" s="795"/>
      <c r="I36" s="795"/>
      <c r="J36" s="489">
        <f>IF(I36="Electric",0.93-0.00132*H36,IF(I36="Gas",0.62-0.0019*H36,""))</f>
      </c>
      <c r="K36" s="575" t="e">
        <f>1/J36</f>
        <v>#VALUE!</v>
      </c>
    </row>
    <row r="37" spans="2:11" ht="13.5" thickBot="1">
      <c r="B37" s="397">
        <v>0.3</v>
      </c>
      <c r="C37" s="382">
        <f t="shared" si="2"/>
        <v>22</v>
      </c>
      <c r="D37" s="398" t="e">
        <f t="shared" si="0"/>
        <v>#N/A</v>
      </c>
      <c r="E37" s="398" t="e">
        <f t="shared" si="1"/>
        <v>#N/A</v>
      </c>
      <c r="G37" s="551" t="s">
        <v>207</v>
      </c>
      <c r="H37" s="14">
        <f>H36</f>
        <v>0</v>
      </c>
      <c r="I37" s="14">
        <f>I36</f>
        <v>0</v>
      </c>
      <c r="J37" s="822"/>
      <c r="K37" s="575" t="e">
        <f>1/J37</f>
        <v>#DIV/0!</v>
      </c>
    </row>
    <row r="38" spans="2:5" ht="12.75">
      <c r="B38" s="397">
        <v>0.05</v>
      </c>
      <c r="C38" s="382">
        <f>C37+1</f>
        <v>23</v>
      </c>
      <c r="D38" s="398" t="e">
        <f t="shared" si="0"/>
        <v>#N/A</v>
      </c>
      <c r="E38" s="398" t="e">
        <f t="shared" si="1"/>
        <v>#N/A</v>
      </c>
    </row>
    <row r="39" spans="2:5" ht="12.75">
      <c r="B39" s="14">
        <f>SUM(B15:B38)</f>
        <v>6.7</v>
      </c>
      <c r="D39" s="406" t="e">
        <f>SUM(D15:D38)</f>
        <v>#N/A</v>
      </c>
      <c r="E39" s="406" t="e">
        <f>SUM(E15:E38)</f>
        <v>#N/A</v>
      </c>
    </row>
    <row r="40" ht="12.75">
      <c r="D40" s="459"/>
    </row>
    <row r="41" ht="12.75">
      <c r="B41" s="15"/>
    </row>
    <row r="42" spans="2:3" ht="12.75">
      <c r="B42" s="692"/>
      <c r="C42" s="16"/>
    </row>
  </sheetData>
  <sheetProtection sheet="1"/>
  <dataValidations count="5">
    <dataValidation type="list" allowBlank="1" showInputMessage="1" showErrorMessage="1" sqref="G3">
      <formula1>$Z$2:$Z$4</formula1>
    </dataValidation>
    <dataValidation type="list" allowBlank="1" showInputMessage="1" showErrorMessage="1" sqref="G14">
      <formula1>"Y,N"</formula1>
    </dataValidation>
    <dataValidation type="list" allowBlank="1" showInputMessage="1" showErrorMessage="1" sqref="G25">
      <formula1>"Common,In-Unit"</formula1>
    </dataValidation>
    <dataValidation type="list" allowBlank="1" showInputMessage="1" showErrorMessage="1" sqref="G15 G23">
      <formula1>"Y,N, NA"</formula1>
    </dataValidation>
    <dataValidation type="list" allowBlank="1" showInputMessage="1" showErrorMessage="1" sqref="I36">
      <formula1>$AA$2:$AA$3</formula1>
    </dataValidation>
  </dataValidations>
  <printOptions/>
  <pageMargins left="0.7" right="0.7" top="0.75" bottom="0.75" header="0.3" footer="0.3"/>
  <pageSetup fitToHeight="1" fitToWidth="1" horizontalDpi="300" verticalDpi="300" orientation="landscape" scale="4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NYSERDA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DeAlmagro, Christopher</dc:creator>
  <cp:keywords/>
  <dc:description/>
  <cp:lastModifiedBy>DeAlmagro, Christopher</cp:lastModifiedBy>
  <cp:lastPrinted>2011-06-10T19:17:33Z</cp:lastPrinted>
  <dcterms:created xsi:type="dcterms:W3CDTF">2007-11-19T22:02:39Z</dcterms:created>
  <dcterms:modified xsi:type="dcterms:W3CDTF">2015-01-27T18:41:08Z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ource">
    <vt:lpwstr/>
  </property>
  <property fmtid="{D5CDD505-2E9C-101B-9397-08002B2CF9AE}" pid="3" name="Language">
    <vt:lpwstr>English</vt:lpwstr>
  </property>
  <property fmtid="{D5CDD505-2E9C-101B-9397-08002B2CF9AE}" pid="4" name="j747ac98061d40f0aa7bd47e1db5675d">
    <vt:lpwstr/>
  </property>
  <property fmtid="{D5CDD505-2E9C-101B-9397-08002B2CF9AE}" pid="5" name="External Contributor">
    <vt:lpwstr/>
  </property>
  <property fmtid="{D5CDD505-2E9C-101B-9397-08002B2CF9AE}" pid="6" name="TaxKeywordTaxHTField">
    <vt:lpwstr/>
  </property>
  <property fmtid="{D5CDD505-2E9C-101B-9397-08002B2CF9AE}" pid="7" name="Record">
    <vt:lpwstr>Shared</vt:lpwstr>
  </property>
  <property fmtid="{D5CDD505-2E9C-101B-9397-08002B2CF9AE}" pid="8" name="Rights">
    <vt:lpwstr/>
  </property>
  <property fmtid="{D5CDD505-2E9C-101B-9397-08002B2CF9AE}" pid="9" name="Document Creation Date">
    <vt:lpwstr>2015-01-27T13:40:30Z</vt:lpwstr>
  </property>
  <property fmtid="{D5CDD505-2E9C-101B-9397-08002B2CF9AE}" pid="10" name="EPA Office">
    <vt:lpwstr/>
  </property>
  <property fmtid="{D5CDD505-2E9C-101B-9397-08002B2CF9AE}" pid="11" name="CategoryDescription">
    <vt:lpwstr/>
  </property>
  <property fmtid="{D5CDD505-2E9C-101B-9397-08002B2CF9AE}" pid="12" name="Identifier">
    <vt:lpwstr/>
  </property>
  <property fmtid="{D5CDD505-2E9C-101B-9397-08002B2CF9AE}" pid="13" name="_Coverage">
    <vt:lpwstr/>
  </property>
  <property fmtid="{D5CDD505-2E9C-101B-9397-08002B2CF9AE}" pid="14" name="Creator">
    <vt:lpwstr/>
  </property>
  <property fmtid="{D5CDD505-2E9C-101B-9397-08002B2CF9AE}" pid="15" name="EPA Related Documents">
    <vt:lpwstr/>
  </property>
  <property fmtid="{D5CDD505-2E9C-101B-9397-08002B2CF9AE}" pid="16" name="EPA Contributor">
    <vt:lpwstr/>
  </property>
  <property fmtid="{D5CDD505-2E9C-101B-9397-08002B2CF9AE}" pid="17" name="TaxCatchAll">
    <vt:lpwstr/>
  </property>
</Properties>
</file>