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OODBRIDGE-FP2\Shared\Annual Program Doc Changes\FY2022\SmartStart\Retrofit\Worksheets\"/>
    </mc:Choice>
  </mc:AlternateContent>
  <xr:revisionPtr revIDLastSave="0" documentId="13_ncr:1_{0FD72464-5AB3-44B7-8266-69DA2D00AE98}" xr6:coauthVersionLast="41" xr6:coauthVersionMax="45" xr10:uidLastSave="{00000000-0000-0000-0000-000000000000}"/>
  <workbookProtection workbookAlgorithmName="SHA-512" workbookHashValue="OO3/aiZYIhfwIv1r+S1vcXWhgbJDc4uC8D2rGs1Tk4vmXYuRplE9uYGTi6RYBKwEBgLURxBDEEA4K7W9MN4CXA==" workbookSaltValue="E0YCw/ylDa5/0Toz3g+Eyw==" workbookSpinCount="100000" lockStructure="1"/>
  <bookViews>
    <workbookView xWindow="-120" yWindow="-120" windowWidth="29040" windowHeight="15990" xr2:uid="{00000000-000D-0000-FFFF-FFFF00000000}"/>
  </bookViews>
  <sheets>
    <sheet name="Worksheet" sheetId="1" r:id="rId1"/>
    <sheet name="Measure Code" sheetId="6" state="hidden" r:id="rId2"/>
    <sheet name="electric cooking device list" sheetId="8" state="hidden" r:id="rId3"/>
    <sheet name="Incentive Structure" sheetId="5" state="hidden" r:id="rId4"/>
    <sheet name="Building Type" sheetId="7" state="hidden" r:id="rId5"/>
    <sheet name="Export" sheetId="2" state="hidden" r:id="rId6"/>
    <sheet name="Version" sheetId="3" state="hidden" r:id="rId7"/>
  </sheets>
  <functionGroups builtInGroupCount="19"/>
  <definedNames>
    <definedName name="_xlnm._FilterDatabase" localSheetId="1" hidden="1">'Measure Code'!$A$1:$E$58</definedName>
    <definedName name="Building_Type">'Building Type'!$A$4:$A$24</definedName>
    <definedName name="Cleaning">'Incentive Structure'!$C$24:$C$24</definedName>
    <definedName name="Combination_Oven_Steamer_Electric">'Incentive Structure'!$G$4:$G$6</definedName>
    <definedName name="Combination_Oven_Steamer_Natural_Gas">'Incentive Structure'!$G$7:$G$9</definedName>
    <definedName name="Convection_Oven_Electric">'Incentive Structure'!$G$10</definedName>
    <definedName name="Convection_Oven_Natural_Gas">'Incentive Structure'!$G$11</definedName>
    <definedName name="Conveyor_Oven_Natural_Gas">'Incentive Structure'!$G$14:$G$15</definedName>
    <definedName name="Cooking">'Incentive Structure'!$C$4:$C$17</definedName>
    <definedName name="Cooling">'Incentive Structure'!$C$19:$C$23</definedName>
    <definedName name="Dishwasher">'Incentive Structure'!$G$57:$G$60</definedName>
    <definedName name="Fryer_Electric">'Incentive Structure'!$G$16</definedName>
    <definedName name="Fryer_Natural_Gas">'Incentive Structure'!$G$17</definedName>
    <definedName name="Glass_Door_Freezers">'Incentive Structure'!$G$35:$G$38</definedName>
    <definedName name="Glass_Door_Refrigerators">'Incentive Structure'!$G$27:$G$30</definedName>
    <definedName name="Griddle_Electric">'Incentive Structure'!$G$20</definedName>
    <definedName name="Griddle_Natural_Gas">'Incentive Structure'!$G$21</definedName>
    <definedName name="Holding">'Incentive Structure'!$C$18:$C$18</definedName>
    <definedName name="Ice_Machines">'Incentive Structure'!$G$43:$G$56</definedName>
    <definedName name="IncenCateg" localSheetId="3">'Incentive Structure'!$B$4:$B$24</definedName>
    <definedName name="IncenTable">'Incentive Structure'!$B$4:$I$56</definedName>
    <definedName name="Insulated_Holding_Cabinets">'Incentive Structure'!$G$24:$G$26</definedName>
    <definedName name="Large_Vat_Fryer_Electric">'Incentive Structure'!$G$18</definedName>
    <definedName name="Large_Vat_Fryer_Natural_Gas">'Incentive Structure'!$G$19</definedName>
    <definedName name="MeasureCode">'Measure Code'!$A$2:$A$58</definedName>
    <definedName name="MeasureCode_Lookup">'Measure Code'!$A$2:$E$58</definedName>
    <definedName name="Rack_Oven_Natural_Gas">'Incentive Structure'!$G$12:$G$13</definedName>
    <definedName name="Solid_Door_Freezers">'Incentive Structure'!$G$39:$G$42</definedName>
    <definedName name="Solid_Door_Refrigerators">'Incentive Structure'!$G$31:$G$34</definedName>
    <definedName name="Steam_Cooker_Electric">'Incentive Structure'!$G$22</definedName>
    <definedName name="Steam_Cooker_Natural_Gas">'Incentive Structure'!$G$23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" i="2"/>
  <c r="AB15" i="1"/>
  <c r="Y3" i="2" s="1"/>
  <c r="AB16" i="1"/>
  <c r="AB17" i="1"/>
  <c r="Y5" i="2" s="1"/>
  <c r="AB18" i="1"/>
  <c r="AB19" i="1"/>
  <c r="AB20" i="1"/>
  <c r="Y8" i="2" s="1"/>
  <c r="AB21" i="1"/>
  <c r="AB22" i="1"/>
  <c r="AB23" i="1"/>
  <c r="AB24" i="1"/>
  <c r="AB25" i="1"/>
  <c r="Y13" i="2" s="1"/>
  <c r="AB26" i="1"/>
  <c r="AB27" i="1"/>
  <c r="AB28" i="1"/>
  <c r="Y16" i="2" s="1"/>
  <c r="AB29" i="1"/>
  <c r="AB30" i="1"/>
  <c r="AB31" i="1"/>
  <c r="AB32" i="1"/>
  <c r="AB33" i="1"/>
  <c r="Y21" i="2" s="1"/>
  <c r="AB34" i="1"/>
  <c r="AB35" i="1"/>
  <c r="AB36" i="1"/>
  <c r="Y24" i="2" s="1"/>
  <c r="AB37" i="1"/>
  <c r="AB38" i="1"/>
  <c r="AB14" i="1"/>
  <c r="Y2" i="2" s="1"/>
  <c r="S3" i="2"/>
  <c r="T3" i="2"/>
  <c r="U3" i="2"/>
  <c r="V3" i="2"/>
  <c r="W3" i="2"/>
  <c r="S4" i="2"/>
  <c r="T4" i="2"/>
  <c r="U4" i="2"/>
  <c r="V4" i="2"/>
  <c r="W4" i="2"/>
  <c r="S5" i="2"/>
  <c r="T5" i="2"/>
  <c r="U5" i="2"/>
  <c r="V5" i="2"/>
  <c r="W5" i="2"/>
  <c r="S6" i="2"/>
  <c r="T6" i="2"/>
  <c r="U6" i="2"/>
  <c r="V6" i="2"/>
  <c r="W6" i="2"/>
  <c r="S7" i="2"/>
  <c r="T7" i="2"/>
  <c r="U7" i="2"/>
  <c r="V7" i="2"/>
  <c r="W7" i="2"/>
  <c r="S8" i="2"/>
  <c r="T8" i="2"/>
  <c r="U8" i="2"/>
  <c r="V8" i="2"/>
  <c r="W8" i="2"/>
  <c r="S9" i="2"/>
  <c r="T9" i="2"/>
  <c r="U9" i="2"/>
  <c r="V9" i="2"/>
  <c r="W9" i="2"/>
  <c r="S10" i="2"/>
  <c r="T10" i="2"/>
  <c r="U10" i="2"/>
  <c r="V10" i="2"/>
  <c r="W10" i="2"/>
  <c r="S11" i="2"/>
  <c r="T11" i="2"/>
  <c r="U11" i="2"/>
  <c r="V11" i="2"/>
  <c r="W11" i="2"/>
  <c r="S12" i="2"/>
  <c r="T12" i="2"/>
  <c r="U12" i="2"/>
  <c r="V12" i="2"/>
  <c r="W12" i="2"/>
  <c r="S13" i="2"/>
  <c r="T13" i="2"/>
  <c r="U13" i="2"/>
  <c r="V13" i="2"/>
  <c r="W13" i="2"/>
  <c r="S14" i="2"/>
  <c r="T14" i="2"/>
  <c r="U14" i="2"/>
  <c r="V14" i="2"/>
  <c r="W14" i="2"/>
  <c r="S15" i="2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W2" i="2"/>
  <c r="V2" i="2"/>
  <c r="U2" i="2"/>
  <c r="T2" i="2"/>
  <c r="Y4" i="2"/>
  <c r="Y6" i="2"/>
  <c r="Y7" i="2"/>
  <c r="Y9" i="2"/>
  <c r="Y10" i="2"/>
  <c r="Y11" i="2"/>
  <c r="Y12" i="2"/>
  <c r="Y14" i="2"/>
  <c r="Y15" i="2"/>
  <c r="Y17" i="2"/>
  <c r="Y18" i="2"/>
  <c r="Y19" i="2"/>
  <c r="Y20" i="2"/>
  <c r="Y22" i="2"/>
  <c r="Y23" i="2"/>
  <c r="Y25" i="2"/>
  <c r="Y26" i="2"/>
  <c r="Y27" i="2"/>
  <c r="S2" i="2"/>
  <c r="E15" i="1"/>
  <c r="AA15" i="1" s="1"/>
  <c r="E16" i="1"/>
  <c r="AA16" i="1" s="1"/>
  <c r="AC16" i="1" s="1"/>
  <c r="E17" i="1"/>
  <c r="AA17" i="1" s="1"/>
  <c r="E18" i="1"/>
  <c r="AA18" i="1"/>
  <c r="H6" i="2" s="1"/>
  <c r="E19" i="1"/>
  <c r="AA19" i="1" s="1"/>
  <c r="E20" i="1"/>
  <c r="AA20" i="1"/>
  <c r="AC20" i="1" s="1"/>
  <c r="E21" i="1"/>
  <c r="AA21" i="1" s="1"/>
  <c r="E22" i="1"/>
  <c r="AA22" i="1"/>
  <c r="AC22" i="1" s="1"/>
  <c r="E23" i="1"/>
  <c r="AA23" i="1" s="1"/>
  <c r="E24" i="1"/>
  <c r="AA24" i="1"/>
  <c r="H12" i="2" s="1"/>
  <c r="E25" i="1"/>
  <c r="AA25" i="1" s="1"/>
  <c r="E26" i="1"/>
  <c r="AA26" i="1"/>
  <c r="H14" i="2" s="1"/>
  <c r="E27" i="1"/>
  <c r="AA27" i="1" s="1"/>
  <c r="E28" i="1"/>
  <c r="AA28" i="1"/>
  <c r="H16" i="2" s="1"/>
  <c r="E29" i="1"/>
  <c r="AA29" i="1" s="1"/>
  <c r="E30" i="1"/>
  <c r="AA30" i="1"/>
  <c r="AC30" i="1" s="1"/>
  <c r="E31" i="1"/>
  <c r="AA31" i="1" s="1"/>
  <c r="E32" i="1"/>
  <c r="AA32" i="1"/>
  <c r="H20" i="2" s="1"/>
  <c r="E33" i="1"/>
  <c r="AA33" i="1" s="1"/>
  <c r="E34" i="1"/>
  <c r="AA34" i="1"/>
  <c r="H22" i="2" s="1"/>
  <c r="E35" i="1"/>
  <c r="AA35" i="1" s="1"/>
  <c r="E36" i="1"/>
  <c r="AA36" i="1"/>
  <c r="AC36" i="1" s="1"/>
  <c r="E37" i="1"/>
  <c r="AA37" i="1" s="1"/>
  <c r="E38" i="1"/>
  <c r="AA38" i="1"/>
  <c r="H26" i="2" s="1"/>
  <c r="E14" i="1"/>
  <c r="G4" i="8"/>
  <c r="H4" i="8"/>
  <c r="G5" i="8"/>
  <c r="H5" i="8"/>
  <c r="G3" i="8"/>
  <c r="H3" i="8" s="1"/>
  <c r="AE15" i="1"/>
  <c r="AF15" i="1"/>
  <c r="AG15" i="1"/>
  <c r="AH15" i="1"/>
  <c r="J3" i="2" s="1"/>
  <c r="AK15" i="1"/>
  <c r="AL15" i="1"/>
  <c r="M3" i="2" s="1"/>
  <c r="AE16" i="1"/>
  <c r="AF16" i="1"/>
  <c r="AG16" i="1"/>
  <c r="AH16" i="1"/>
  <c r="AK16" i="1"/>
  <c r="AL16" i="1"/>
  <c r="M4" i="2" s="1"/>
  <c r="AE17" i="1"/>
  <c r="AF17" i="1"/>
  <c r="AG17" i="1"/>
  <c r="AI17" i="1" s="1"/>
  <c r="AH17" i="1"/>
  <c r="AK17" i="1"/>
  <c r="AL17" i="1"/>
  <c r="AE18" i="1"/>
  <c r="AF18" i="1"/>
  <c r="AG18" i="1"/>
  <c r="AI18" i="1" s="1"/>
  <c r="AH18" i="1"/>
  <c r="AK18" i="1"/>
  <c r="AL18" i="1"/>
  <c r="AE19" i="1"/>
  <c r="AF19" i="1"/>
  <c r="AG19" i="1"/>
  <c r="AH19" i="1"/>
  <c r="AJ19" i="1" s="1"/>
  <c r="L7" i="2" s="1"/>
  <c r="AK19" i="1"/>
  <c r="AM19" i="1" s="1"/>
  <c r="AL19" i="1"/>
  <c r="AE20" i="1"/>
  <c r="AF20" i="1"/>
  <c r="AG20" i="1"/>
  <c r="AH20" i="1"/>
  <c r="AK20" i="1"/>
  <c r="AL20" i="1"/>
  <c r="M8" i="2" s="1"/>
  <c r="AE21" i="1"/>
  <c r="AF21" i="1"/>
  <c r="AG21" i="1"/>
  <c r="AH21" i="1"/>
  <c r="AK21" i="1"/>
  <c r="AL21" i="1"/>
  <c r="AN21" i="1" s="1"/>
  <c r="N9" i="2" s="1"/>
  <c r="AE22" i="1"/>
  <c r="AF22" i="1"/>
  <c r="K10" i="2" s="1"/>
  <c r="AG22" i="1"/>
  <c r="AI22" i="1" s="1"/>
  <c r="AH22" i="1"/>
  <c r="AK22" i="1"/>
  <c r="AL22" i="1"/>
  <c r="AN22" i="1" s="1"/>
  <c r="N10" i="2" s="1"/>
  <c r="AE23" i="1"/>
  <c r="AF23" i="1"/>
  <c r="AG23" i="1"/>
  <c r="AH23" i="1"/>
  <c r="J11" i="2" s="1"/>
  <c r="AK23" i="1"/>
  <c r="AL23" i="1"/>
  <c r="AE24" i="1"/>
  <c r="AF24" i="1"/>
  <c r="AG24" i="1"/>
  <c r="AH24" i="1"/>
  <c r="AK24" i="1"/>
  <c r="AL24" i="1"/>
  <c r="M12" i="2" s="1"/>
  <c r="AE25" i="1"/>
  <c r="AF25" i="1"/>
  <c r="AG25" i="1"/>
  <c r="AI25" i="1" s="1"/>
  <c r="AH25" i="1"/>
  <c r="AK25" i="1"/>
  <c r="AL25" i="1"/>
  <c r="AN25" i="1" s="1"/>
  <c r="N13" i="2" s="1"/>
  <c r="AE26" i="1"/>
  <c r="AF26" i="1"/>
  <c r="K14" i="2" s="1"/>
  <c r="AG26" i="1"/>
  <c r="AI26" i="1" s="1"/>
  <c r="AH26" i="1"/>
  <c r="AK26" i="1"/>
  <c r="AM26" i="1" s="1"/>
  <c r="AL26" i="1"/>
  <c r="AN26" i="1" s="1"/>
  <c r="N14" i="2" s="1"/>
  <c r="AE27" i="1"/>
  <c r="AF27" i="1"/>
  <c r="AG27" i="1"/>
  <c r="AH27" i="1"/>
  <c r="J15" i="2" s="1"/>
  <c r="AK27" i="1"/>
  <c r="AM27" i="1" s="1"/>
  <c r="AL27" i="1"/>
  <c r="AE28" i="1"/>
  <c r="AF28" i="1"/>
  <c r="K16" i="2" s="1"/>
  <c r="AG28" i="1"/>
  <c r="AH28" i="1"/>
  <c r="AK28" i="1"/>
  <c r="AL28" i="1"/>
  <c r="M16" i="2" s="1"/>
  <c r="AE29" i="1"/>
  <c r="AF29" i="1"/>
  <c r="AG29" i="1"/>
  <c r="AI29" i="1" s="1"/>
  <c r="AH29" i="1"/>
  <c r="AK29" i="1"/>
  <c r="AM29" i="1" s="1"/>
  <c r="AL29" i="1"/>
  <c r="AE30" i="1"/>
  <c r="AF30" i="1"/>
  <c r="K18" i="2" s="1"/>
  <c r="AG30" i="1"/>
  <c r="AI30" i="1" s="1"/>
  <c r="AH30" i="1"/>
  <c r="AJ30" i="1" s="1"/>
  <c r="L18" i="2" s="1"/>
  <c r="AK30" i="1"/>
  <c r="AM30" i="1" s="1"/>
  <c r="AL30" i="1"/>
  <c r="AE31" i="1"/>
  <c r="AF31" i="1"/>
  <c r="AG31" i="1"/>
  <c r="AH31" i="1"/>
  <c r="J19" i="2" s="1"/>
  <c r="AK31" i="1"/>
  <c r="AL31" i="1"/>
  <c r="AE32" i="1"/>
  <c r="AF32" i="1"/>
  <c r="K20" i="2" s="1"/>
  <c r="AG32" i="1"/>
  <c r="AH32" i="1"/>
  <c r="AJ32" i="1" s="1"/>
  <c r="L20" i="2" s="1"/>
  <c r="AK32" i="1"/>
  <c r="AL32" i="1"/>
  <c r="M20" i="2" s="1"/>
  <c r="AE33" i="1"/>
  <c r="AF33" i="1"/>
  <c r="AG33" i="1"/>
  <c r="AI33" i="1" s="1"/>
  <c r="AH33" i="1"/>
  <c r="J21" i="2" s="1"/>
  <c r="AK33" i="1"/>
  <c r="AL33" i="1"/>
  <c r="AN33" i="1" s="1"/>
  <c r="N21" i="2" s="1"/>
  <c r="AE34" i="1"/>
  <c r="AF34" i="1"/>
  <c r="K22" i="2" s="1"/>
  <c r="AG34" i="1"/>
  <c r="AI34" i="1" s="1"/>
  <c r="AH34" i="1"/>
  <c r="AK34" i="1"/>
  <c r="AM34" i="1" s="1"/>
  <c r="AL34" i="1"/>
  <c r="AE35" i="1"/>
  <c r="AF35" i="1"/>
  <c r="AG35" i="1"/>
  <c r="AH35" i="1"/>
  <c r="AJ35" i="1" s="1"/>
  <c r="L23" i="2" s="1"/>
  <c r="AK35" i="1"/>
  <c r="AM35" i="1" s="1"/>
  <c r="AL35" i="1"/>
  <c r="AE36" i="1"/>
  <c r="AF36" i="1"/>
  <c r="AG36" i="1"/>
  <c r="AH36" i="1"/>
  <c r="AK36" i="1"/>
  <c r="AL36" i="1"/>
  <c r="AN36" i="1" s="1"/>
  <c r="N24" i="2" s="1"/>
  <c r="AE37" i="1"/>
  <c r="AF37" i="1"/>
  <c r="AG37" i="1"/>
  <c r="AI37" i="1" s="1"/>
  <c r="AH37" i="1"/>
  <c r="AJ37" i="1" s="1"/>
  <c r="L25" i="2" s="1"/>
  <c r="AK37" i="1"/>
  <c r="AM37" i="1" s="1"/>
  <c r="AL37" i="1"/>
  <c r="AE38" i="1"/>
  <c r="AF38" i="1"/>
  <c r="K26" i="2" s="1"/>
  <c r="AG38" i="1"/>
  <c r="AI38" i="1" s="1"/>
  <c r="AH38" i="1"/>
  <c r="AJ38" i="1" s="1"/>
  <c r="L26" i="2" s="1"/>
  <c r="AK38" i="1"/>
  <c r="AM38" i="1" s="1"/>
  <c r="AL38" i="1"/>
  <c r="C15" i="1"/>
  <c r="A3" i="2" s="1"/>
  <c r="D15" i="1"/>
  <c r="C16" i="1"/>
  <c r="A4" i="2" s="1"/>
  <c r="D16" i="1"/>
  <c r="AJ16" i="1" s="1"/>
  <c r="L4" i="2" s="1"/>
  <c r="C17" i="1"/>
  <c r="D17" i="1"/>
  <c r="C18" i="1"/>
  <c r="A6" i="2" s="1"/>
  <c r="D18" i="1"/>
  <c r="C19" i="1"/>
  <c r="D19" i="1"/>
  <c r="C20" i="1"/>
  <c r="D20" i="1"/>
  <c r="AM20" i="1" s="1"/>
  <c r="C21" i="1"/>
  <c r="D21" i="1"/>
  <c r="C22" i="1"/>
  <c r="A10" i="2" s="1"/>
  <c r="D22" i="1"/>
  <c r="C23" i="1"/>
  <c r="A11" i="2" s="1"/>
  <c r="D23" i="1"/>
  <c r="AN23" i="1" s="1"/>
  <c r="N11" i="2" s="1"/>
  <c r="C24" i="1"/>
  <c r="A12" i="2" s="1"/>
  <c r="D24" i="1"/>
  <c r="AI24" i="1" s="1"/>
  <c r="C25" i="1"/>
  <c r="A13" i="2"/>
  <c r="D25" i="1"/>
  <c r="C26" i="1"/>
  <c r="A14" i="2"/>
  <c r="D26" i="1"/>
  <c r="C27" i="1"/>
  <c r="A15" i="2"/>
  <c r="D27" i="1"/>
  <c r="C28" i="1"/>
  <c r="A16" i="2" s="1"/>
  <c r="D28" i="1"/>
  <c r="C29" i="1"/>
  <c r="A17" i="2" s="1"/>
  <c r="D29" i="1"/>
  <c r="C30" i="1"/>
  <c r="A18" i="2" s="1"/>
  <c r="D30" i="1"/>
  <c r="C31" i="1"/>
  <c r="A19" i="2" s="1"/>
  <c r="D31" i="1"/>
  <c r="C32" i="1"/>
  <c r="A20" i="2" s="1"/>
  <c r="D32" i="1"/>
  <c r="C33" i="1"/>
  <c r="A21" i="2"/>
  <c r="D33" i="1"/>
  <c r="C34" i="1"/>
  <c r="A22" i="2"/>
  <c r="D34" i="1"/>
  <c r="C35" i="1"/>
  <c r="A23" i="2"/>
  <c r="D35" i="1"/>
  <c r="C36" i="1"/>
  <c r="A24" i="2" s="1"/>
  <c r="D36" i="1"/>
  <c r="C37" i="1"/>
  <c r="A25" i="2" s="1"/>
  <c r="D37" i="1"/>
  <c r="C38" i="1"/>
  <c r="A26" i="2" s="1"/>
  <c r="D38" i="1"/>
  <c r="D14" i="1"/>
  <c r="C14" i="1"/>
  <c r="A2" i="2" s="1"/>
  <c r="A8" i="2"/>
  <c r="A9" i="2"/>
  <c r="A7" i="2"/>
  <c r="A5" i="2"/>
  <c r="AJ33" i="1"/>
  <c r="AM33" i="1"/>
  <c r="AN29" i="1"/>
  <c r="AJ29" i="1"/>
  <c r="L17" i="2" s="1"/>
  <c r="AM25" i="1"/>
  <c r="AJ25" i="1"/>
  <c r="L13" i="2" s="1"/>
  <c r="AI21" i="1"/>
  <c r="AJ21" i="1"/>
  <c r="AM21" i="1"/>
  <c r="AM17" i="1"/>
  <c r="AJ17" i="1"/>
  <c r="L5" i="2" s="1"/>
  <c r="AN17" i="1"/>
  <c r="AN34" i="1"/>
  <c r="N22" i="2" s="1"/>
  <c r="AJ34" i="1"/>
  <c r="AN30" i="1"/>
  <c r="N18" i="2" s="1"/>
  <c r="AJ26" i="1"/>
  <c r="L14" i="2" s="1"/>
  <c r="AM22" i="1"/>
  <c r="AJ22" i="1"/>
  <c r="L10" i="2" s="1"/>
  <c r="AJ18" i="1"/>
  <c r="L6" i="2" s="1"/>
  <c r="AN18" i="1"/>
  <c r="N6" i="2" s="1"/>
  <c r="AN37" i="1"/>
  <c r="N25" i="2" s="1"/>
  <c r="AN35" i="1"/>
  <c r="N23" i="2" s="1"/>
  <c r="AI35" i="1"/>
  <c r="AN31" i="1"/>
  <c r="N19" i="2" s="1"/>
  <c r="AN27" i="1"/>
  <c r="N15" i="2" s="1"/>
  <c r="AI27" i="1"/>
  <c r="AI23" i="1"/>
  <c r="AN19" i="1"/>
  <c r="N7" i="2" s="1"/>
  <c r="AI19" i="1"/>
  <c r="AI15" i="1"/>
  <c r="AM36" i="1"/>
  <c r="AJ36" i="1"/>
  <c r="L24" i="2" s="1"/>
  <c r="AI36" i="1"/>
  <c r="AI28" i="1"/>
  <c r="AM28" i="1"/>
  <c r="AJ28" i="1"/>
  <c r="L16" i="2" s="1"/>
  <c r="AM24" i="1"/>
  <c r="AI20" i="1"/>
  <c r="H4" i="5"/>
  <c r="N27" i="2"/>
  <c r="H8" i="5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D3" i="1"/>
  <c r="AD2" i="1"/>
  <c r="H18" i="2"/>
  <c r="H10" i="2"/>
  <c r="H5" i="5"/>
  <c r="H6" i="5"/>
  <c r="H7" i="5"/>
  <c r="H9" i="5"/>
  <c r="H10" i="5"/>
  <c r="H11" i="5"/>
  <c r="O4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O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B2" i="2"/>
  <c r="C2" i="2"/>
  <c r="I2" i="2"/>
  <c r="R2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I8" i="2"/>
  <c r="R8" i="2"/>
  <c r="B9" i="2"/>
  <c r="C9" i="2"/>
  <c r="I9" i="2"/>
  <c r="R9" i="2"/>
  <c r="B10" i="2"/>
  <c r="C10" i="2"/>
  <c r="I10" i="2"/>
  <c r="R10" i="2"/>
  <c r="B11" i="2"/>
  <c r="C11" i="2"/>
  <c r="I11" i="2"/>
  <c r="R11" i="2"/>
  <c r="B12" i="2"/>
  <c r="C12" i="2"/>
  <c r="I12" i="2"/>
  <c r="R12" i="2"/>
  <c r="B13" i="2"/>
  <c r="C13" i="2"/>
  <c r="I13" i="2"/>
  <c r="R13" i="2"/>
  <c r="B14" i="2"/>
  <c r="C14" i="2"/>
  <c r="I14" i="2"/>
  <c r="R14" i="2"/>
  <c r="B15" i="2"/>
  <c r="C15" i="2"/>
  <c r="I15" i="2"/>
  <c r="R15" i="2"/>
  <c r="B16" i="2"/>
  <c r="C16" i="2"/>
  <c r="I16" i="2"/>
  <c r="R16" i="2"/>
  <c r="B17" i="2"/>
  <c r="C17" i="2"/>
  <c r="I17" i="2"/>
  <c r="R17" i="2"/>
  <c r="B18" i="2"/>
  <c r="C18" i="2"/>
  <c r="I18" i="2"/>
  <c r="R18" i="2"/>
  <c r="B19" i="2"/>
  <c r="C19" i="2"/>
  <c r="I19" i="2"/>
  <c r="R19" i="2"/>
  <c r="B20" i="2"/>
  <c r="C20" i="2"/>
  <c r="I20" i="2"/>
  <c r="R20" i="2"/>
  <c r="B21" i="2"/>
  <c r="C21" i="2"/>
  <c r="I21" i="2"/>
  <c r="R21" i="2"/>
  <c r="B22" i="2"/>
  <c r="C22" i="2"/>
  <c r="I22" i="2"/>
  <c r="R22" i="2"/>
  <c r="B23" i="2"/>
  <c r="C23" i="2"/>
  <c r="I23" i="2"/>
  <c r="R23" i="2"/>
  <c r="B24" i="2"/>
  <c r="C24" i="2"/>
  <c r="I24" i="2"/>
  <c r="R24" i="2"/>
  <c r="B25" i="2"/>
  <c r="C25" i="2"/>
  <c r="I25" i="2"/>
  <c r="R25" i="2"/>
  <c r="B26" i="2"/>
  <c r="C26" i="2"/>
  <c r="I26" i="2"/>
  <c r="R26" i="2"/>
  <c r="B3" i="2"/>
  <c r="C3" i="2"/>
  <c r="AK14" i="1"/>
  <c r="AG14" i="1"/>
  <c r="AF14" i="1"/>
  <c r="K2" i="2" s="1"/>
  <c r="AH14" i="1"/>
  <c r="AE14" i="1"/>
  <c r="AL14" i="1"/>
  <c r="M7" i="2"/>
  <c r="K7" i="2"/>
  <c r="J13" i="2"/>
  <c r="M13" i="2"/>
  <c r="K13" i="2"/>
  <c r="K17" i="2"/>
  <c r="J25" i="2"/>
  <c r="M25" i="2"/>
  <c r="K25" i="2"/>
  <c r="K3" i="2"/>
  <c r="J5" i="2"/>
  <c r="N5" i="2"/>
  <c r="M5" i="2"/>
  <c r="K5" i="2"/>
  <c r="J9" i="2"/>
  <c r="M9" i="2"/>
  <c r="K9" i="2"/>
  <c r="K11" i="2"/>
  <c r="K15" i="2"/>
  <c r="K19" i="2"/>
  <c r="K21" i="2"/>
  <c r="K23" i="2"/>
  <c r="J4" i="2"/>
  <c r="K4" i="2"/>
  <c r="J6" i="2"/>
  <c r="M6" i="2"/>
  <c r="J8" i="2"/>
  <c r="K8" i="2"/>
  <c r="J10" i="2"/>
  <c r="M10" i="2"/>
  <c r="J12" i="2"/>
  <c r="K12" i="2"/>
  <c r="J14" i="2"/>
  <c r="M14" i="2"/>
  <c r="J16" i="2"/>
  <c r="J18" i="2"/>
  <c r="M18" i="2"/>
  <c r="J20" i="2"/>
  <c r="L22" i="2"/>
  <c r="J22" i="2"/>
  <c r="M22" i="2"/>
  <c r="J24" i="2"/>
  <c r="K24" i="2"/>
  <c r="J26" i="2"/>
  <c r="M26" i="2"/>
  <c r="H24" i="2"/>
  <c r="H8" i="2"/>
  <c r="M19" i="2"/>
  <c r="M15" i="2"/>
  <c r="M23" i="2"/>
  <c r="M11" i="2"/>
  <c r="J17" i="2"/>
  <c r="M21" i="2"/>
  <c r="M17" i="2"/>
  <c r="L21" i="2"/>
  <c r="L9" i="2"/>
  <c r="N17" i="2"/>
  <c r="AM15" i="1" l="1"/>
  <c r="AN15" i="1"/>
  <c r="N3" i="2" s="1"/>
  <c r="AN16" i="1"/>
  <c r="N4" i="2" s="1"/>
  <c r="AA14" i="1"/>
  <c r="AC14" i="1" s="1"/>
  <c r="AI14" i="1"/>
  <c r="AM14" i="1"/>
  <c r="AN14" i="1"/>
  <c r="N2" i="2" s="1"/>
  <c r="AJ14" i="1"/>
  <c r="L2" i="2" s="1"/>
  <c r="M2" i="2"/>
  <c r="AJ31" i="1"/>
  <c r="L19" i="2" s="1"/>
  <c r="J2" i="2"/>
  <c r="AN38" i="1"/>
  <c r="N26" i="2" s="1"/>
  <c r="AF12" i="1"/>
  <c r="K6" i="2"/>
  <c r="AH12" i="1"/>
  <c r="AE12" i="1"/>
  <c r="AJ15" i="1"/>
  <c r="L3" i="2" s="1"/>
  <c r="AN32" i="1"/>
  <c r="N20" i="2" s="1"/>
  <c r="AK12" i="1"/>
  <c r="M24" i="2"/>
  <c r="AG12" i="1"/>
  <c r="AC19" i="1"/>
  <c r="AD19" i="1"/>
  <c r="H7" i="2"/>
  <c r="AC29" i="1"/>
  <c r="AD29" i="1"/>
  <c r="H17" i="2"/>
  <c r="AC33" i="1"/>
  <c r="AD33" i="1"/>
  <c r="H21" i="2"/>
  <c r="AC17" i="1"/>
  <c r="AD17" i="1"/>
  <c r="H5" i="2"/>
  <c r="AC35" i="1"/>
  <c r="H23" i="2"/>
  <c r="AD35" i="1"/>
  <c r="AC23" i="1"/>
  <c r="AD23" i="1"/>
  <c r="H11" i="2"/>
  <c r="AC27" i="1"/>
  <c r="AD27" i="1"/>
  <c r="H15" i="2"/>
  <c r="H19" i="2"/>
  <c r="AC31" i="1"/>
  <c r="AD31" i="1"/>
  <c r="AC15" i="1"/>
  <c r="AD15" i="1"/>
  <c r="H3" i="2"/>
  <c r="H25" i="2"/>
  <c r="AC37" i="1"/>
  <c r="AD37" i="1"/>
  <c r="H9" i="2"/>
  <c r="AC21" i="1"/>
  <c r="AD21" i="1"/>
  <c r="AC25" i="1"/>
  <c r="AD25" i="1"/>
  <c r="H13" i="2"/>
  <c r="J23" i="2"/>
  <c r="J7" i="2"/>
  <c r="H4" i="2"/>
  <c r="AJ20" i="1"/>
  <c r="L8" i="2" s="1"/>
  <c r="AN28" i="1"/>
  <c r="N16" i="2" s="1"/>
  <c r="AM18" i="1"/>
  <c r="AD38" i="1"/>
  <c r="AD36" i="1"/>
  <c r="AD34" i="1"/>
  <c r="AD32" i="1"/>
  <c r="AD30" i="1"/>
  <c r="AD28" i="1"/>
  <c r="AD26" i="1"/>
  <c r="AD24" i="1"/>
  <c r="AD22" i="1"/>
  <c r="AD20" i="1"/>
  <c r="AD18" i="1"/>
  <c r="AD16" i="1"/>
  <c r="AL12" i="1"/>
  <c r="AN20" i="1"/>
  <c r="N8" i="2" s="1"/>
  <c r="AC38" i="1"/>
  <c r="AC34" i="1"/>
  <c r="AC32" i="1"/>
  <c r="AC28" i="1"/>
  <c r="AC26" i="1"/>
  <c r="AC24" i="1"/>
  <c r="AC18" i="1"/>
  <c r="AJ27" i="1"/>
  <c r="L15" i="2" s="1"/>
  <c r="AI16" i="1"/>
  <c r="AJ24" i="1"/>
  <c r="L12" i="2" s="1"/>
  <c r="AM32" i="1"/>
  <c r="AM23" i="1"/>
  <c r="AI31" i="1"/>
  <c r="AM16" i="1"/>
  <c r="AN24" i="1"/>
  <c r="N12" i="2" s="1"/>
  <c r="AI32" i="1"/>
  <c r="AJ23" i="1"/>
  <c r="L11" i="2" s="1"/>
  <c r="AM31" i="1"/>
  <c r="AD14" i="1" l="1"/>
  <c r="AD12" i="1" s="1"/>
  <c r="H2" i="2"/>
  <c r="AI12" i="1"/>
  <c r="AM12" i="1"/>
  <c r="AC12" i="1"/>
  <c r="AN12" i="1"/>
  <c r="AJ12" i="1"/>
</calcChain>
</file>

<file path=xl/sharedStrings.xml><?xml version="1.0" encoding="utf-8"?>
<sst xmlns="http://schemas.openxmlformats.org/spreadsheetml/2006/main" count="670" uniqueCount="259">
  <si>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</si>
  <si>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</si>
  <si>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</si>
  <si>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</si>
  <si>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</si>
  <si>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</si>
  <si>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</si>
  <si>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</si>
  <si>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</si>
  <si>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</si>
  <si>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</si>
  <si>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</si>
  <si>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</si>
  <si>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</si>
  <si>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</si>
  <si>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</si>
  <si>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</si>
  <si>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</si>
  <si>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</si>
  <si>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</si>
  <si>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</si>
  <si>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</si>
  <si>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</si>
  <si>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</si>
  <si>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</si>
  <si>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</si>
  <si>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</si>
  <si>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</si>
  <si>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</si>
  <si>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</si>
  <si>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</si>
  <si>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</si>
  <si>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</si>
  <si>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</si>
  <si>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</si>
  <si>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>Phone</t>
  </si>
  <si>
    <t>Total Units Committed:</t>
  </si>
  <si>
    <t>Total Units Installed:</t>
  </si>
  <si>
    <t>Totals:</t>
  </si>
  <si>
    <t>Incentive per Unit</t>
  </si>
  <si>
    <t>Electric Annual Committed Savings kWh</t>
  </si>
  <si>
    <t>Electric  Demand Committed Savings kW</t>
  </si>
  <si>
    <t>Cooking</t>
  </si>
  <si>
    <t>Holding</t>
  </si>
  <si>
    <t>Cooling</t>
  </si>
  <si>
    <t>Cleaning</t>
  </si>
  <si>
    <t>Description</t>
  </si>
  <si>
    <t>Incentive</t>
  </si>
  <si>
    <t>Unit Measure</t>
  </si>
  <si>
    <t>Door Type</t>
  </si>
  <si>
    <t>Single Tank Conveyor</t>
  </si>
  <si>
    <t>Multiple Tank Conveyor</t>
  </si>
  <si>
    <t>each</t>
  </si>
  <si>
    <t>Energy Star Ice Machine 101-200 lbs/day</t>
  </si>
  <si>
    <t>Energy Star Ice Machine 201-300 lbs/day</t>
  </si>
  <si>
    <t>Energy Star Ice Machine 301-400 lbs/day</t>
  </si>
  <si>
    <t>Energy Star Ice Machine 401-500 lbs/day</t>
  </si>
  <si>
    <t>Energy Star Ice Machine &gt;1,500 lbs/day</t>
  </si>
  <si>
    <t>Energy Star Ice Machine 1,001-1,500 lbs/day</t>
  </si>
  <si>
    <t>Energy Star Ice Machine 501-1,000 lbs/day</t>
  </si>
  <si>
    <t>Super-Efficient Ice Machine 101-200 lbs/day</t>
  </si>
  <si>
    <t>Super-Efficient Ice Machine 201-300 lbs/day</t>
  </si>
  <si>
    <t>Super-Efficient Ice Machine 301-400 lbs/day</t>
  </si>
  <si>
    <t>Super-Efficient Ice Machine 401-500 lbs/day</t>
  </si>
  <si>
    <t>Super-Efficient Ice Machine 501-1,000 lbs/day</t>
  </si>
  <si>
    <t>Super-Efficient Ice Machine 1,001-1,500 lbs/day</t>
  </si>
  <si>
    <t>Super-Efficient Ice Machine &gt;1,500 lbs/day</t>
  </si>
  <si>
    <t>unit</t>
  </si>
  <si>
    <t>Energy Star - Internal Volume &lt;15 CF</t>
  </si>
  <si>
    <t>Energy Star - Internal Volume 15-29.9 CF</t>
  </si>
  <si>
    <t>Energy Star - Internal Volume 30-49.9 CF</t>
  </si>
  <si>
    <t>Energy Star - Internal Volume &gt;50 CF</t>
  </si>
  <si>
    <t>Insulated Holding Cabinets - Full Size</t>
  </si>
  <si>
    <t>Insulated Holding Cabinets - 3/4 Size</t>
  </si>
  <si>
    <t>Insulated Holding Cabinets - 1/2 Size</t>
  </si>
  <si>
    <t>Insulated Holding Cabinets</t>
  </si>
  <si>
    <t>Glass Door Refrigerators</t>
  </si>
  <si>
    <t>Solid Door Refrigerators</t>
  </si>
  <si>
    <t>Glass Door Freezers</t>
  </si>
  <si>
    <t>Solid Door Freezers</t>
  </si>
  <si>
    <t>Ice Machines</t>
  </si>
  <si>
    <t>oven</t>
  </si>
  <si>
    <t>single oven</t>
  </si>
  <si>
    <t>double oven</t>
  </si>
  <si>
    <t>deck</t>
  </si>
  <si>
    <t>vat</t>
  </si>
  <si>
    <t>griddle</t>
  </si>
  <si>
    <t>steamer</t>
  </si>
  <si>
    <t>Under Counter</t>
  </si>
  <si>
    <t>Category</t>
  </si>
  <si>
    <t>Subcategory</t>
  </si>
  <si>
    <t>Food Service Equipment Incentives</t>
  </si>
  <si>
    <t>Dishwasher</t>
  </si>
  <si>
    <t>Incentive Category</t>
  </si>
  <si>
    <t>Incentive Subcategory</t>
  </si>
  <si>
    <t>TEST</t>
  </si>
  <si>
    <t>Quantity Committed</t>
  </si>
  <si>
    <t>Combination Oven Steamer Electric</t>
  </si>
  <si>
    <t>Convection Oven Natural Gas</t>
  </si>
  <si>
    <t>Large Vat Fryer Natural Gas</t>
  </si>
  <si>
    <t>Conveyor Oven Natural Gas</t>
  </si>
  <si>
    <t>Conveyor Oven Large Natural Gas</t>
  </si>
  <si>
    <t>Combination Oven Steamer Natural Gas</t>
  </si>
  <si>
    <t>Convection Oven Electric</t>
  </si>
  <si>
    <t>Rack Oven Natural Gas</t>
  </si>
  <si>
    <t>Rack Oven Single Natural Gas</t>
  </si>
  <si>
    <t>Rack Oven Double Natural Gas</t>
  </si>
  <si>
    <t>Fryer Electric</t>
  </si>
  <si>
    <t>Conveyor Oven Small Natural Gas</t>
  </si>
  <si>
    <t>Fryer Natural Gas</t>
  </si>
  <si>
    <t>Large Vat Fryer Electric</t>
  </si>
  <si>
    <t>Griddle Electric</t>
  </si>
  <si>
    <t>Griddle Natural Gas</t>
  </si>
  <si>
    <t>Steam Cooker Electric</t>
  </si>
  <si>
    <t>Steam Cooker Natural Gas</t>
  </si>
  <si>
    <t>Gas Annual Savings Committed (Therms)</t>
  </si>
  <si>
    <t>Gas Annual Savings Installed (Therms)</t>
  </si>
  <si>
    <t>Gas Lifetime Savings Committed (Therms)</t>
  </si>
  <si>
    <t>Gas Lifetime Savings Installed (Therms)</t>
  </si>
  <si>
    <t>Measure ID</t>
  </si>
  <si>
    <t>Updated with more granular measure breakdown per AEG's measures</t>
  </si>
  <si>
    <t>no change for V7, skipped V6</t>
  </si>
  <si>
    <t>&lt;- Version</t>
  </si>
  <si>
    <t>Key</t>
  </si>
  <si>
    <t>fixed incentive lookup table to distinguish between different types of cooling applications</t>
  </si>
  <si>
    <t>fixed incentive lookup table which had lots of mistakes in the cooking section</t>
  </si>
  <si>
    <t>Inspection Type</t>
  </si>
  <si>
    <t>Building Type</t>
  </si>
  <si>
    <t>Building Type - For Insulated Holding Cabinents</t>
  </si>
  <si>
    <t>Education - Primary School</t>
  </si>
  <si>
    <t>Education - Secondary School</t>
  </si>
  <si>
    <t>Education - Community College</t>
  </si>
  <si>
    <t>Education - University</t>
  </si>
  <si>
    <t>Grocery</t>
  </si>
  <si>
    <t>Medical - Hospital</t>
  </si>
  <si>
    <t>Medical - Clinic</t>
  </si>
  <si>
    <t>Lodging Hotel (Guest Rooms)</t>
  </si>
  <si>
    <t>Lodging Motel</t>
  </si>
  <si>
    <t>Manufacturing - Light Industrial</t>
  </si>
  <si>
    <t>Office - Large</t>
  </si>
  <si>
    <t>Office - Small</t>
  </si>
  <si>
    <t>Restaurant - Sit Down</t>
  </si>
  <si>
    <t>Restaurant - Fast Food</t>
  </si>
  <si>
    <t>Retail - 3 Story Large</t>
  </si>
  <si>
    <t>Retail - Small</t>
  </si>
  <si>
    <t>Storage Conditioned</t>
  </si>
  <si>
    <t>Storage Unconditioned</t>
  </si>
  <si>
    <t>Warehouse</t>
  </si>
  <si>
    <t>Other</t>
  </si>
  <si>
    <t>Retail - Single-Story Large</t>
  </si>
  <si>
    <t>Days/Year</t>
  </si>
  <si>
    <t>Hours/Day</t>
  </si>
  <si>
    <t>Table 2 - Operating Days/Hours by Building Type                                        (pg 118 - 3/14/2014 Protocols)</t>
  </si>
  <si>
    <t>Griddle Width (ft)</t>
  </si>
  <si>
    <t>Number of Pans</t>
  </si>
  <si>
    <t>Combination Oven Steamer Electric - &gt;28 Pans</t>
  </si>
  <si>
    <t>Combination Oven Steamer Electric - 15 to 28 pans</t>
  </si>
  <si>
    <t>Combination Oven Steamer Electric - &lt;15 Pans</t>
  </si>
  <si>
    <t>Combination Oven Steamer Natural Gas - &lt;15 Pans</t>
  </si>
  <si>
    <t>Combination Oven Steamer Natural Gas -15 to 28 pans</t>
  </si>
  <si>
    <t>Combination Oven Steamer Natural Gas - &gt;28 Pans</t>
  </si>
  <si>
    <t xml:space="preserve"> Operating Days/Year</t>
  </si>
  <si>
    <t>Operating Hours/Day</t>
  </si>
  <si>
    <t>Unit Capacity (Half, Full)</t>
  </si>
  <si>
    <t>Combination Oven Steamer Mode Efficiency</t>
  </si>
  <si>
    <t>Combination Oven Convection Mode Efficiency</t>
  </si>
  <si>
    <t>Appliance Lifetime</t>
  </si>
  <si>
    <t>Appendix A - Measure Lives Used in Cost Effectiveness Screening      April 2012</t>
  </si>
  <si>
    <t>Combination Oven Steamer Natural Gas - 15 to 28 pans</t>
  </si>
  <si>
    <t>Pre-Inspection Notes</t>
  </si>
  <si>
    <t>Post-Inspection Notes</t>
  </si>
  <si>
    <t>FOOD1</t>
  </si>
  <si>
    <t>FOOD2</t>
  </si>
  <si>
    <t>FOOD3</t>
  </si>
  <si>
    <t>FOOD4</t>
  </si>
  <si>
    <t>FOOD5</t>
  </si>
  <si>
    <t>FOOD6</t>
  </si>
  <si>
    <t>FOOD7</t>
  </si>
  <si>
    <t>FOOD8</t>
  </si>
  <si>
    <t>FOOD9</t>
  </si>
  <si>
    <t>FOOD10</t>
  </si>
  <si>
    <t>FOOD11</t>
  </si>
  <si>
    <t>FOOD12</t>
  </si>
  <si>
    <t>FOOD13</t>
  </si>
  <si>
    <t>FOOD14</t>
  </si>
  <si>
    <t>FOOD15</t>
  </si>
  <si>
    <t>FOOD16</t>
  </si>
  <si>
    <t>FOOD17</t>
  </si>
  <si>
    <t>FOOD18</t>
  </si>
  <si>
    <t>FOOD19</t>
  </si>
  <si>
    <t>FOOD20</t>
  </si>
  <si>
    <t>FOOD21</t>
  </si>
  <si>
    <t>FOOD22</t>
  </si>
  <si>
    <t>FOOD23</t>
  </si>
  <si>
    <t>FOOD24</t>
  </si>
  <si>
    <t>FOOD25</t>
  </si>
  <si>
    <t>FOOD26</t>
  </si>
  <si>
    <t>FOOD27</t>
  </si>
  <si>
    <t>FOOD28</t>
  </si>
  <si>
    <t>FOOD29</t>
  </si>
  <si>
    <t>FOOD30</t>
  </si>
  <si>
    <t>FOOD31</t>
  </si>
  <si>
    <t>FOOD32</t>
  </si>
  <si>
    <t>FOOD33</t>
  </si>
  <si>
    <t>FOOD34</t>
  </si>
  <si>
    <t>FOOD35</t>
  </si>
  <si>
    <t>FOOD36</t>
  </si>
  <si>
    <t>FOOD37</t>
  </si>
  <si>
    <t>FOOD38</t>
  </si>
  <si>
    <t>FOOD39</t>
  </si>
  <si>
    <t>FOOD40</t>
  </si>
  <si>
    <t>FOOD41</t>
  </si>
  <si>
    <t>FOOD42</t>
  </si>
  <si>
    <t>FOOD43</t>
  </si>
  <si>
    <t>FOOD44</t>
  </si>
  <si>
    <t>FOOD45</t>
  </si>
  <si>
    <t>FOOD46</t>
  </si>
  <si>
    <t>FOOD47</t>
  </si>
  <si>
    <t>FOOD48</t>
  </si>
  <si>
    <t>FOOD49</t>
  </si>
  <si>
    <t>FOOD50</t>
  </si>
  <si>
    <t>FOOD51</t>
  </si>
  <si>
    <t>FOOD52</t>
  </si>
  <si>
    <t>FOOD53</t>
  </si>
  <si>
    <t>FOOD54</t>
  </si>
  <si>
    <t>FOOD55</t>
  </si>
  <si>
    <t>FOOD56</t>
  </si>
  <si>
    <t>FOOD57</t>
  </si>
  <si>
    <t>Measure Code</t>
  </si>
  <si>
    <t>Measure ID in DB</t>
  </si>
  <si>
    <t>Cooking Efficiency</t>
  </si>
  <si>
    <t>New or Replaced</t>
  </si>
  <si>
    <t>Updated to align with FY19 Protocols</t>
  </si>
  <si>
    <t>equivalent max btuh</t>
  </si>
  <si>
    <t>kW</t>
  </si>
  <si>
    <t>Enhanced Incentive Eligibility</t>
  </si>
  <si>
    <t>Enhanced Incentive per Unit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</si>
  <si>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</si>
  <si>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</si>
  <si>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</si>
  <si>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</si>
  <si>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</si>
  <si>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County</t>
  </si>
  <si>
    <t>Affordable Housing</t>
  </si>
  <si>
    <t>Updated for FY21 Program</t>
  </si>
  <si>
    <t>FY22 SmartStart Existing Buildings - Food Service Equipment v1.0</t>
  </si>
  <si>
    <r>
      <t xml:space="preserve">Unit Volume </t>
    </r>
    <r>
      <rPr>
        <sz val="10"/>
        <color theme="0"/>
        <rFont val="Arial"/>
        <family val="2"/>
      </rPr>
      <t>(ft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)</t>
    </r>
  </si>
  <si>
    <r>
      <t xml:space="preserve">Daily Energy Rate </t>
    </r>
    <r>
      <rPr>
        <sz val="10"/>
        <color theme="0"/>
        <rFont val="Arial"/>
        <family val="2"/>
      </rPr>
      <t>(kWh/day)</t>
    </r>
  </si>
  <si>
    <r>
      <t xml:space="preserve">Ice Harvest </t>
    </r>
    <r>
      <rPr>
        <sz val="10"/>
        <color theme="0"/>
        <rFont val="Arial"/>
        <family val="2"/>
      </rPr>
      <t>(lb/day)</t>
    </r>
  </si>
  <si>
    <r>
      <t xml:space="preserve">Ice Machine Energy Consumption </t>
    </r>
    <r>
      <rPr>
        <sz val="10"/>
        <color theme="0"/>
        <rFont val="Arial"/>
        <family val="2"/>
      </rPr>
      <t>(kWh/100 lbs)</t>
    </r>
  </si>
  <si>
    <r>
      <t xml:space="preserve">Water Heater Energy Source </t>
    </r>
    <r>
      <rPr>
        <sz val="10"/>
        <color theme="0"/>
        <rFont val="Arial"/>
        <family val="2"/>
      </rPr>
      <t>(Gas/Electric)</t>
    </r>
  </si>
  <si>
    <r>
      <t xml:space="preserve">Dishwasher Temperature </t>
    </r>
    <r>
      <rPr>
        <sz val="10"/>
        <color theme="0"/>
        <rFont val="Arial"/>
        <family val="2"/>
      </rPr>
      <t>(High/Low)</t>
    </r>
  </si>
  <si>
    <r>
      <t xml:space="preserve">Booster Water Heater Energy Source </t>
    </r>
    <r>
      <rPr>
        <sz val="10"/>
        <color theme="0"/>
        <rFont val="Arial"/>
        <family val="2"/>
      </rPr>
      <t>(Gas/Electric)</t>
    </r>
  </si>
  <si>
    <r>
      <t xml:space="preserve">Idle Energy Rate </t>
    </r>
    <r>
      <rPr>
        <sz val="10"/>
        <color theme="0"/>
        <rFont val="Arial"/>
        <family val="2"/>
      </rPr>
      <t>(kw or Btu/hr)</t>
    </r>
  </si>
  <si>
    <r>
      <t xml:space="preserve">Combination Oven Steamer Mode Idle Energy Rate </t>
    </r>
    <r>
      <rPr>
        <sz val="10"/>
        <color theme="0"/>
        <rFont val="Arial"/>
        <family val="2"/>
      </rPr>
      <t>(kw or Btu/hr)</t>
    </r>
  </si>
  <si>
    <r>
      <t xml:space="preserve">Combination Oven Convection Mode Idle Energy Rate </t>
    </r>
    <r>
      <rPr>
        <sz val="10"/>
        <color theme="0"/>
        <rFont val="Arial"/>
        <family val="2"/>
      </rPr>
      <t>(kw or Btu/hr)</t>
    </r>
  </si>
  <si>
    <t>Company</t>
  </si>
  <si>
    <t>Model Number</t>
  </si>
  <si>
    <t>Incentive amounts are estimates until verified by the Program Manager.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</si>
</sst>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8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8CFAE"/>
        <bgColor indexed="64"/>
      </patternFill>
    </fill>
    <fill>
      <patternFill patternType="solid">
        <fgColor rgb="FF029F3A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14" fontId="5" fillId="4" borderId="2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top"/>
    </xf>
    <xf numFmtId="0" fontId="4" fillId="8" borderId="3" xfId="0" applyFont="1" applyFill="1" applyBorder="1"/>
    <xf numFmtId="165" fontId="4" fillId="8" borderId="1" xfId="0" applyNumberFormat="1" applyFont="1" applyFill="1" applyBorder="1"/>
    <xf numFmtId="0" fontId="4" fillId="8" borderId="7" xfId="0" applyFont="1" applyFill="1" applyBorder="1"/>
    <xf numFmtId="0" fontId="4" fillId="8" borderId="5" xfId="0" applyFont="1" applyFill="1" applyBorder="1"/>
    <xf numFmtId="0" fontId="4" fillId="8" borderId="8" xfId="0" applyFont="1" applyFill="1" applyBorder="1"/>
    <xf numFmtId="0" fontId="4" fillId="8" borderId="4" xfId="0" applyFont="1" applyFill="1" applyBorder="1"/>
    <xf numFmtId="0" fontId="4" fillId="8" borderId="9" xfId="0" applyFont="1" applyFill="1" applyBorder="1"/>
    <xf numFmtId="0" fontId="4" fillId="7" borderId="3" xfId="0" applyFont="1" applyFill="1" applyBorder="1"/>
    <xf numFmtId="165" fontId="4" fillId="7" borderId="1" xfId="0" applyNumberFormat="1" applyFont="1" applyFill="1" applyBorder="1"/>
    <xf numFmtId="0" fontId="4" fillId="7" borderId="7" xfId="0" applyFont="1" applyFill="1" applyBorder="1"/>
    <xf numFmtId="0" fontId="4" fillId="7" borderId="5" xfId="0" applyFont="1" applyFill="1" applyBorder="1"/>
    <xf numFmtId="0" fontId="4" fillId="7" borderId="8" xfId="0" applyFont="1" applyFill="1" applyBorder="1"/>
    <xf numFmtId="0" fontId="4" fillId="7" borderId="4" xfId="0" applyFont="1" applyFill="1" applyBorder="1"/>
    <xf numFmtId="0" fontId="4" fillId="7" borderId="9" xfId="0" applyFont="1" applyFill="1" applyBorder="1"/>
    <xf numFmtId="0" fontId="4" fillId="9" borderId="3" xfId="0" applyFont="1" applyFill="1" applyBorder="1"/>
    <xf numFmtId="165" fontId="0" fillId="9" borderId="1" xfId="0" applyNumberFormat="1" applyFill="1" applyBorder="1"/>
    <xf numFmtId="0" fontId="4" fillId="9" borderId="7" xfId="0" applyFont="1" applyFill="1" applyBorder="1"/>
    <xf numFmtId="0" fontId="4" fillId="9" borderId="5" xfId="0" applyFont="1" applyFill="1" applyBorder="1"/>
    <xf numFmtId="0" fontId="4" fillId="9" borderId="8" xfId="0" applyFont="1" applyFill="1" applyBorder="1"/>
    <xf numFmtId="0" fontId="4" fillId="9" borderId="4" xfId="0" applyFont="1" applyFill="1" applyBorder="1"/>
    <xf numFmtId="0" fontId="4" fillId="9" borderId="9" xfId="0" applyFont="1" applyFill="1" applyBorder="1"/>
    <xf numFmtId="0" fontId="4" fillId="6" borderId="10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/>
    <xf numFmtId="0" fontId="0" fillId="10" borderId="1" xfId="0" applyFill="1" applyBorder="1" applyAlignment="1">
      <alignment horizontal="left" indent="2"/>
    </xf>
    <xf numFmtId="0" fontId="4" fillId="0" borderId="1" xfId="0" applyFont="1" applyBorder="1" applyProtection="1">
      <protection locked="0"/>
    </xf>
    <xf numFmtId="165" fontId="0" fillId="10" borderId="1" xfId="0" applyNumberForma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1" xfId="0" applyFont="1" applyFill="1" applyBorder="1" applyProtection="1">
      <protection locked="0"/>
    </xf>
    <xf numFmtId="0" fontId="4" fillId="6" borderId="3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4" fillId="0" borderId="1" xfId="0" applyNumberFormat="1" applyFont="1" applyFill="1" applyBorder="1" applyProtection="1"/>
    <xf numFmtId="0" fontId="4" fillId="6" borderId="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28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right" vertical="center"/>
    </xf>
    <xf numFmtId="0" fontId="4" fillId="6" borderId="29" xfId="0" applyFont="1" applyFill="1" applyBorder="1" applyAlignment="1">
      <alignment horizontal="right" vertical="center"/>
    </xf>
    <xf numFmtId="0" fontId="4" fillId="6" borderId="30" xfId="0" applyFont="1" applyFill="1" applyBorder="1" applyAlignment="1">
      <alignment horizontal="right" vertical="center"/>
    </xf>
    <xf numFmtId="0" fontId="4" fillId="6" borderId="31" xfId="0" applyFont="1" applyFill="1" applyBorder="1" applyAlignment="1">
      <alignment horizontal="right" vertical="center"/>
    </xf>
    <xf numFmtId="0" fontId="4" fillId="7" borderId="28" xfId="0" applyFont="1" applyFill="1" applyBorder="1" applyAlignment="1">
      <alignment vertical="center"/>
    </xf>
    <xf numFmtId="0" fontId="4" fillId="7" borderId="29" xfId="0" applyFont="1" applyFill="1" applyBorder="1" applyAlignment="1">
      <alignment horizontal="right" vertical="center"/>
    </xf>
    <xf numFmtId="0" fontId="4" fillId="8" borderId="28" xfId="0" applyFont="1" applyFill="1" applyBorder="1" applyAlignment="1">
      <alignment vertical="center"/>
    </xf>
    <xf numFmtId="0" fontId="4" fillId="8" borderId="29" xfId="0" applyFont="1" applyFill="1" applyBorder="1" applyAlignment="1">
      <alignment horizontal="right" vertical="center"/>
    </xf>
    <xf numFmtId="0" fontId="4" fillId="8" borderId="30" xfId="0" applyFont="1" applyFill="1" applyBorder="1" applyAlignment="1">
      <alignment horizontal="right" vertical="center"/>
    </xf>
    <xf numFmtId="0" fontId="4" fillId="9" borderId="18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26" xfId="0" applyFont="1" applyFill="1" applyBorder="1" applyAlignment="1">
      <alignment horizontal="right" vertical="center"/>
    </xf>
    <xf numFmtId="0" fontId="4" fillId="11" borderId="16" xfId="0" applyFont="1" applyFill="1" applyBorder="1"/>
    <xf numFmtId="0" fontId="4" fillId="11" borderId="1" xfId="0" applyFont="1" applyFill="1" applyBorder="1"/>
    <xf numFmtId="0" fontId="4" fillId="11" borderId="17" xfId="0" applyFont="1" applyFill="1" applyBorder="1" applyAlignment="1">
      <alignment wrapText="1"/>
    </xf>
    <xf numFmtId="0" fontId="3" fillId="0" borderId="0" xfId="0" applyFont="1" applyFill="1" applyBorder="1" applyAlignment="1" applyProtection="1"/>
    <xf numFmtId="39" fontId="9" fillId="13" borderId="1" xfId="2" applyNumberFormat="1" applyFont="1" applyFill="1" applyBorder="1" applyProtection="1"/>
    <xf numFmtId="14" fontId="5" fillId="0" borderId="0" xfId="0" applyNumberFormat="1" applyFont="1" applyFill="1" applyBorder="1" applyAlignment="1" applyProtection="1">
      <alignment horizontal="left"/>
      <protection locked="0"/>
    </xf>
    <xf numFmtId="1" fontId="4" fillId="14" borderId="1" xfId="0" applyNumberFormat="1" applyFont="1" applyFill="1" applyBorder="1" applyProtection="1">
      <protection locked="0"/>
    </xf>
    <xf numFmtId="0" fontId="1" fillId="6" borderId="27" xfId="0" applyFont="1" applyFill="1" applyBorder="1" applyAlignment="1">
      <alignment horizontal="left" vertical="center"/>
    </xf>
    <xf numFmtId="0" fontId="1" fillId="0" borderId="0" xfId="0" applyFont="1"/>
    <xf numFmtId="0" fontId="1" fillId="9" borderId="3" xfId="0" applyFont="1" applyFill="1" applyBorder="1"/>
    <xf numFmtId="0" fontId="1" fillId="9" borderId="5" xfId="0" applyFont="1" applyFill="1" applyBorder="1"/>
    <xf numFmtId="0" fontId="1" fillId="9" borderId="4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5" fillId="0" borderId="0" xfId="1" applyNumberFormat="1" applyFont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" fillId="0" borderId="1" xfId="0" applyFont="1" applyBorder="1"/>
    <xf numFmtId="0" fontId="4" fillId="12" borderId="1" xfId="0" applyFont="1" applyFill="1" applyBorder="1" applyAlignment="1" applyProtection="1">
      <alignment horizontal="center" vertical="center"/>
      <protection locked="0"/>
    </xf>
    <xf numFmtId="166" fontId="4" fillId="12" borderId="1" xfId="0" applyNumberFormat="1" applyFont="1" applyFill="1" applyBorder="1" applyAlignment="1" applyProtection="1">
      <alignment horizontal="center" vertical="center"/>
      <protection locked="0"/>
    </xf>
    <xf numFmtId="9" fontId="4" fillId="12" borderId="1" xfId="3" applyFont="1" applyFill="1" applyBorder="1" applyAlignment="1" applyProtection="1">
      <alignment horizontal="center" vertical="center"/>
      <protection locked="0"/>
    </xf>
    <xf numFmtId="165" fontId="4" fillId="12" borderId="1" xfId="0" applyNumberFormat="1" applyFont="1" applyFill="1" applyBorder="1" applyProtection="1"/>
    <xf numFmtId="2" fontId="4" fillId="12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right"/>
    </xf>
    <xf numFmtId="0" fontId="3" fillId="16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14" borderId="0" xfId="0" applyFont="1" applyFill="1" applyBorder="1" applyProtection="1"/>
    <xf numFmtId="165" fontId="9" fillId="14" borderId="0" xfId="2" applyNumberFormat="1" applyFont="1" applyFill="1" applyBorder="1" applyProtection="1"/>
    <xf numFmtId="44" fontId="9" fillId="14" borderId="0" xfId="2" applyFont="1" applyFill="1" applyBorder="1" applyProtection="1"/>
    <xf numFmtId="39" fontId="9" fillId="14" borderId="0" xfId="2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12" fillId="0" borderId="0" xfId="0" applyFont="1" applyProtection="1"/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39" xfId="0" applyFont="1" applyFill="1" applyBorder="1" applyAlignment="1" applyProtection="1">
      <alignment horizontal="left"/>
      <protection locked="0"/>
    </xf>
    <xf numFmtId="0" fontId="5" fillId="4" borderId="38" xfId="0" applyFont="1" applyFill="1" applyBorder="1" applyAlignment="1" applyProtection="1">
      <alignment horizontal="left"/>
      <protection locked="0"/>
    </xf>
    <xf numFmtId="0" fontId="5" fillId="4" borderId="42" xfId="0" applyFont="1" applyFill="1" applyBorder="1" applyAlignment="1" applyProtection="1">
      <alignment horizontal="left"/>
      <protection locked="0"/>
    </xf>
    <xf numFmtId="0" fontId="5" fillId="4" borderId="43" xfId="0" applyFont="1" applyFill="1" applyBorder="1" applyAlignment="1" applyProtection="1">
      <alignment horizontal="left"/>
      <protection locked="0"/>
    </xf>
    <xf numFmtId="0" fontId="5" fillId="4" borderId="44" xfId="0" applyFont="1" applyFill="1" applyBorder="1" applyAlignment="1" applyProtection="1">
      <alignment horizontal="left"/>
      <protection locked="0"/>
    </xf>
    <xf numFmtId="0" fontId="5" fillId="4" borderId="45" xfId="0" applyFont="1" applyFill="1" applyBorder="1" applyAlignment="1" applyProtection="1">
      <alignment horizontal="left"/>
      <protection locked="0"/>
    </xf>
    <xf numFmtId="0" fontId="5" fillId="4" borderId="46" xfId="0" applyFont="1" applyFill="1" applyBorder="1" applyAlignment="1" applyProtection="1">
      <alignment horizontal="left"/>
      <protection locked="0"/>
    </xf>
    <xf numFmtId="0" fontId="5" fillId="4" borderId="47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39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15" borderId="40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 wrapText="1"/>
    </xf>
    <xf numFmtId="0" fontId="0" fillId="16" borderId="38" xfId="0" applyFill="1" applyBorder="1" applyAlignment="1">
      <alignment horizontal="center" wrapText="1"/>
    </xf>
    <xf numFmtId="0" fontId="0" fillId="16" borderId="39" xfId="0" applyFill="1" applyBorder="1" applyAlignment="1">
      <alignment horizontal="center" wrapText="1"/>
    </xf>
    <xf numFmtId="0" fontId="4" fillId="16" borderId="32" xfId="0" applyFont="1" applyFill="1" applyBorder="1" applyAlignment="1">
      <alignment horizontal="center" wrapText="1"/>
    </xf>
    <xf numFmtId="0" fontId="4" fillId="16" borderId="33" xfId="0" applyFont="1" applyFill="1" applyBorder="1" applyAlignment="1">
      <alignment horizontal="center" wrapText="1"/>
    </xf>
    <xf numFmtId="0" fontId="4" fillId="16" borderId="34" xfId="0" applyFont="1" applyFill="1" applyBorder="1" applyAlignment="1">
      <alignment horizontal="center" wrapText="1"/>
    </xf>
    <xf numFmtId="0" fontId="3" fillId="17" borderId="32" xfId="0" applyFont="1" applyFill="1" applyBorder="1" applyAlignment="1" applyProtection="1"/>
    <xf numFmtId="0" fontId="3" fillId="17" borderId="33" xfId="0" applyFont="1" applyFill="1" applyBorder="1" applyAlignment="1" applyProtection="1"/>
    <xf numFmtId="1" fontId="0" fillId="17" borderId="34" xfId="0" applyNumberFormat="1" applyFill="1" applyBorder="1" applyProtection="1"/>
    <xf numFmtId="0" fontId="3" fillId="17" borderId="35" xfId="0" applyFont="1" applyFill="1" applyBorder="1" applyAlignment="1" applyProtection="1"/>
    <xf numFmtId="0" fontId="3" fillId="17" borderId="36" xfId="0" applyFont="1" applyFill="1" applyBorder="1" applyAlignment="1" applyProtection="1"/>
    <xf numFmtId="1" fontId="0" fillId="17" borderId="37" xfId="0" applyNumberFormat="1" applyFill="1" applyBorder="1" applyProtection="1"/>
    <xf numFmtId="0" fontId="3" fillId="17" borderId="40" xfId="0" applyFont="1" applyFill="1" applyBorder="1" applyAlignment="1" applyProtection="1">
      <alignment horizontal="left"/>
    </xf>
    <xf numFmtId="0" fontId="3" fillId="17" borderId="11" xfId="0" applyFont="1" applyFill="1" applyBorder="1" applyAlignment="1" applyProtection="1">
      <alignment horizontal="left"/>
    </xf>
    <xf numFmtId="165" fontId="9" fillId="17" borderId="1" xfId="2" applyNumberFormat="1" applyFont="1" applyFill="1" applyBorder="1" applyProtection="1"/>
    <xf numFmtId="0" fontId="3" fillId="18" borderId="1" xfId="0" applyFont="1" applyFill="1" applyBorder="1" applyAlignment="1" applyProtection="1">
      <alignment horizontal="center" wrapText="1"/>
    </xf>
    <xf numFmtId="0" fontId="5" fillId="18" borderId="1" xfId="0" applyFont="1" applyFill="1" applyBorder="1" applyAlignment="1" applyProtection="1">
      <alignment horizontal="center" wrapText="1"/>
      <protection locked="0"/>
    </xf>
    <xf numFmtId="0" fontId="15" fillId="18" borderId="1" xfId="0" applyFont="1" applyFill="1" applyBorder="1" applyAlignment="1" applyProtection="1">
      <alignment horizontal="center" wrapText="1"/>
    </xf>
    <xf numFmtId="0" fontId="17" fillId="18" borderId="5" xfId="0" applyFont="1" applyFill="1" applyBorder="1" applyAlignment="1" applyProtection="1">
      <alignment horizontal="left"/>
    </xf>
    <xf numFmtId="0" fontId="17" fillId="18" borderId="0" xfId="0" applyFont="1" applyFill="1" applyBorder="1" applyAlignment="1" applyProtection="1">
      <alignment horizontal="left"/>
    </xf>
    <xf numFmtId="0" fontId="5" fillId="4" borderId="38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7">
    <dxf>
      <font>
        <b/>
        <i val="0"/>
        <u val="none"/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29F3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ctrlProps/ctrlProp6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10</xdr:row>
          <xdr:rowOff>9525</xdr:rowOff>
        </xdr:from>
        <xdr:to>
          <xdr:col>3</xdr:col>
          <xdr:colOff>685800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8"/>
  <sheetViews>
    <sheetView showGridLines="0" tabSelected="1" zoomScaleNormal="100" workbookViewId="0">
      <selection activeCell="B3" sqref="B3:D3"/>
    </sheetView>
  </sheetViews>
  <sheetFormatPr defaultColWidth="9.140625" defaultRowHeight="12.75" x14ac:dyDescent="0.2"/>
  <cols>
    <col min="1" max="1" width="10.28515625" style="7" customWidth="1"/>
    <col min="2" max="2" width="10.140625" style="7" customWidth="1"/>
    <col min="3" max="3" width="15.42578125" style="7" customWidth="1"/>
    <col min="4" max="4" width="34.85546875" style="7" bestFit="1" customWidth="1"/>
    <col min="5" max="5" width="46.85546875" style="7" bestFit="1" customWidth="1"/>
    <col min="6" max="6" width="19" style="7" customWidth="1"/>
    <col min="7" max="7" width="28.28515625" style="7" customWidth="1"/>
    <col min="8" max="8" width="10.85546875" style="7" customWidth="1"/>
    <col min="9" max="9" width="26.5703125" style="7" bestFit="1" customWidth="1"/>
    <col min="10" max="10" width="10.28515625" style="7" customWidth="1"/>
    <col min="11" max="11" width="11.28515625" style="7" customWidth="1"/>
    <col min="12" max="12" width="10.85546875" style="7" customWidth="1"/>
    <col min="13" max="13" width="12.7109375" style="7" customWidth="1"/>
    <col min="14" max="14" width="12.42578125" style="7" customWidth="1"/>
    <col min="15" max="15" width="14.140625" style="7" customWidth="1"/>
    <col min="16" max="16" width="15.42578125" style="7" customWidth="1"/>
    <col min="17" max="23" width="13.5703125" style="7" customWidth="1"/>
    <col min="24" max="24" width="10" style="7" customWidth="1"/>
    <col min="25" max="26" width="11" style="7" customWidth="1"/>
    <col min="27" max="27" width="12.7109375" style="7" customWidth="1"/>
    <col min="28" max="28" width="12.7109375" style="7" hidden="1" customWidth="1"/>
    <col min="29" max="30" width="12.7109375" style="7" customWidth="1"/>
    <col min="31" max="32" width="12.7109375" style="7" hidden="1" customWidth="1"/>
    <col min="33" max="36" width="14.7109375" style="7" hidden="1" customWidth="1"/>
    <col min="37" max="40" width="12.7109375" style="7" hidden="1" customWidth="1"/>
    <col min="41" max="42" width="0" style="7" hidden="1" customWidth="1"/>
    <col min="43" max="43" width="13.28515625" style="7" hidden="1" customWidth="1"/>
    <col min="44" max="44" width="0" style="7" hidden="1" customWidth="1"/>
    <col min="45" max="45" width="10.85546875" style="7" hidden="1" customWidth="1"/>
    <col min="46" max="46" width="11" style="7" hidden="1" customWidth="1"/>
    <col min="47" max="16384" width="9.140625" style="7"/>
  </cols>
  <sheetData>
    <row r="1" spans="1:46" s="154" customFormat="1" ht="16.5" thickBot="1" x14ac:dyDescent="0.3">
      <c r="A1" s="191" t="s">
        <v>245</v>
      </c>
      <c r="B1" s="192"/>
      <c r="C1" s="192"/>
      <c r="D1" s="192"/>
      <c r="E1" s="151" t="s">
        <v>258</v>
      </c>
      <c r="F1" s="151"/>
      <c r="G1" s="152"/>
      <c r="H1" s="152"/>
      <c r="I1" s="152"/>
      <c r="J1" s="152"/>
      <c r="K1" s="152"/>
      <c r="L1" s="153"/>
      <c r="M1" s="152"/>
      <c r="N1" s="152"/>
    </row>
    <row r="2" spans="1:46" ht="13.5" thickBot="1" x14ac:dyDescent="0.25">
      <c r="A2" s="8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9"/>
      <c r="Y2" s="6"/>
      <c r="Z2" s="6"/>
      <c r="AA2" s="179" t="s">
        <v>36</v>
      </c>
      <c r="AB2" s="180"/>
      <c r="AC2" s="180"/>
      <c r="AD2" s="181">
        <f>SUM($Y14:$Y38)</f>
        <v>0</v>
      </c>
      <c r="AE2" s="6"/>
      <c r="AF2" s="6"/>
      <c r="AG2" s="6"/>
      <c r="AH2" s="6"/>
      <c r="AI2" s="6"/>
    </row>
    <row r="3" spans="1:46" ht="13.5" thickBot="1" x14ac:dyDescent="0.25">
      <c r="A3" s="9" t="s">
        <v>256</v>
      </c>
      <c r="B3" s="159"/>
      <c r="C3" s="160"/>
      <c r="D3" s="161"/>
      <c r="E3" s="14" t="s">
        <v>0</v>
      </c>
      <c r="F3" s="167"/>
      <c r="G3" s="193"/>
      <c r="H3" s="193"/>
      <c r="I3" s="168"/>
      <c r="R3" s="115"/>
      <c r="Y3" s="6"/>
      <c r="Z3" s="6"/>
      <c r="AA3" s="182" t="s">
        <v>37</v>
      </c>
      <c r="AB3" s="183"/>
      <c r="AC3" s="183"/>
      <c r="AD3" s="184">
        <f>SUM($Z14:$Z38)</f>
        <v>0</v>
      </c>
      <c r="AE3" s="6"/>
      <c r="AF3" s="136" t="s">
        <v>126</v>
      </c>
      <c r="AG3" s="167"/>
      <c r="AH3" s="168"/>
      <c r="AI3" s="6"/>
    </row>
    <row r="4" spans="1:46" ht="13.5" thickBot="1" x14ac:dyDescent="0.25">
      <c r="A4" s="9" t="s">
        <v>32</v>
      </c>
      <c r="B4" s="156"/>
      <c r="C4" s="158"/>
      <c r="D4" s="157"/>
      <c r="E4" s="14" t="s">
        <v>1</v>
      </c>
      <c r="F4" s="19"/>
      <c r="G4" s="117"/>
      <c r="H4" s="117"/>
      <c r="I4" s="9"/>
      <c r="J4" s="9"/>
      <c r="K4" s="9"/>
      <c r="L4" s="10"/>
      <c r="M4" s="9"/>
      <c r="N4" s="9"/>
      <c r="R4" s="11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46" ht="13.5" thickBot="1" x14ac:dyDescent="0.25">
      <c r="A5" s="9" t="s">
        <v>34</v>
      </c>
      <c r="B5" s="162"/>
      <c r="C5" s="163"/>
      <c r="D5" s="164"/>
      <c r="E5" s="14"/>
      <c r="F5" s="9"/>
      <c r="G5" s="9"/>
      <c r="H5" s="9"/>
      <c r="I5" s="9"/>
      <c r="J5" s="9"/>
      <c r="K5" s="9"/>
      <c r="L5" s="10"/>
      <c r="M5" s="9"/>
      <c r="N5" s="9"/>
      <c r="Y5" s="6"/>
      <c r="Z5" s="6"/>
      <c r="AA5" s="6"/>
      <c r="AB5" s="6"/>
      <c r="AC5" s="6"/>
      <c r="AD5" s="6"/>
      <c r="AE5" s="6"/>
      <c r="AF5" s="165" t="s">
        <v>169</v>
      </c>
      <c r="AG5" s="165"/>
      <c r="AH5" s="165"/>
      <c r="AI5" s="165" t="s">
        <v>170</v>
      </c>
      <c r="AJ5" s="165"/>
      <c r="AK5" s="165"/>
      <c r="AL5" s="9"/>
      <c r="AM5" s="11"/>
    </row>
    <row r="6" spans="1:46" ht="16.5" thickBot="1" x14ac:dyDescent="0.3">
      <c r="A6" s="8" t="s">
        <v>33</v>
      </c>
      <c r="B6" s="12"/>
      <c r="C6" s="12"/>
      <c r="D6" s="12"/>
      <c r="E6" s="124"/>
      <c r="F6" s="12"/>
      <c r="G6" s="12"/>
      <c r="H6" s="12"/>
      <c r="I6" s="12"/>
      <c r="J6" s="12"/>
      <c r="K6" s="12"/>
      <c r="L6" s="13"/>
      <c r="M6" s="12"/>
      <c r="N6" s="12"/>
      <c r="R6" s="115"/>
      <c r="S6" s="115"/>
      <c r="Y6" s="6"/>
      <c r="Z6" s="6"/>
      <c r="AA6" s="6"/>
      <c r="AB6" s="6"/>
      <c r="AC6" s="6"/>
      <c r="AD6" s="6"/>
      <c r="AE6" s="6"/>
      <c r="AF6" s="166"/>
      <c r="AG6" s="166"/>
      <c r="AH6" s="166"/>
      <c r="AI6" s="166"/>
      <c r="AJ6" s="166"/>
      <c r="AK6" s="166"/>
      <c r="AL6" s="9"/>
    </row>
    <row r="7" spans="1:46" ht="13.5" thickBot="1" x14ac:dyDescent="0.25">
      <c r="A7" s="15" t="s">
        <v>256</v>
      </c>
      <c r="B7" s="156"/>
      <c r="C7" s="158"/>
      <c r="D7" s="157"/>
      <c r="E7" s="125" t="s">
        <v>0</v>
      </c>
      <c r="F7" s="167"/>
      <c r="G7" s="193"/>
      <c r="H7" s="193"/>
      <c r="I7" s="168"/>
      <c r="J7" s="9"/>
      <c r="K7" s="9"/>
      <c r="L7" s="9"/>
      <c r="M7" s="9"/>
      <c r="N7" s="9"/>
      <c r="R7" s="115"/>
      <c r="S7" s="115"/>
      <c r="Y7" s="6"/>
      <c r="Z7" s="6"/>
      <c r="AA7" s="6"/>
      <c r="AE7" s="6"/>
      <c r="AF7" s="166"/>
      <c r="AG7" s="166"/>
      <c r="AH7" s="166"/>
      <c r="AI7" s="166"/>
      <c r="AJ7" s="166"/>
      <c r="AK7" s="166"/>
      <c r="AL7" s="9"/>
      <c r="AM7" s="17"/>
    </row>
    <row r="8" spans="1:46" ht="13.9" customHeight="1" thickBot="1" x14ac:dyDescent="0.25">
      <c r="A8" s="15" t="s">
        <v>34</v>
      </c>
      <c r="B8" s="162"/>
      <c r="C8" s="163"/>
      <c r="D8" s="164"/>
      <c r="E8" s="126" t="s">
        <v>35</v>
      </c>
      <c r="F8" s="167"/>
      <c r="G8" s="193"/>
      <c r="H8" s="193"/>
      <c r="I8" s="168"/>
      <c r="J8" s="16"/>
      <c r="K8" s="16"/>
      <c r="L8" s="16"/>
      <c r="M8" s="16"/>
      <c r="R8" s="115"/>
      <c r="S8" s="115"/>
      <c r="X8" s="6"/>
      <c r="Z8" s="6"/>
      <c r="AA8" s="6"/>
      <c r="AB8" s="6"/>
      <c r="AC8" s="6"/>
      <c r="AD8" s="6"/>
      <c r="AE8" s="6"/>
      <c r="AF8" s="166"/>
      <c r="AG8" s="166"/>
      <c r="AH8" s="166"/>
      <c r="AI8" s="166"/>
      <c r="AJ8" s="166"/>
      <c r="AK8" s="166"/>
    </row>
    <row r="9" spans="1:46" ht="15.75" hidden="1" x14ac:dyDescent="0.25">
      <c r="A9" s="8" t="s">
        <v>235</v>
      </c>
      <c r="B9" s="12"/>
      <c r="R9" s="115"/>
      <c r="S9" s="115"/>
      <c r="AA9" s="144"/>
      <c r="AB9" s="144"/>
      <c r="AC9" s="145"/>
      <c r="AD9" s="146"/>
      <c r="AE9" s="147"/>
      <c r="AF9" s="166"/>
      <c r="AG9" s="166"/>
      <c r="AH9" s="166"/>
      <c r="AI9" s="166"/>
      <c r="AJ9" s="166"/>
      <c r="AK9" s="166"/>
      <c r="AL9" s="147"/>
      <c r="AM9" s="147"/>
      <c r="AN9" s="147"/>
      <c r="AO9" s="141"/>
      <c r="AP9" s="142"/>
      <c r="AQ9" s="141"/>
      <c r="AR9" s="143"/>
    </row>
    <row r="10" spans="1:46" hidden="1" x14ac:dyDescent="0.2">
      <c r="A10" s="148" t="b">
        <v>0</v>
      </c>
      <c r="B10" s="149" t="b">
        <v>0</v>
      </c>
      <c r="C10" s="155" t="b">
        <v>0</v>
      </c>
      <c r="R10" s="115"/>
      <c r="S10" s="115"/>
      <c r="AA10" s="144"/>
      <c r="AB10" s="144"/>
      <c r="AC10" s="145"/>
      <c r="AD10" s="146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1"/>
      <c r="AP10" s="142"/>
      <c r="AQ10" s="141"/>
      <c r="AR10" s="143"/>
    </row>
    <row r="11" spans="1:46" hidden="1" x14ac:dyDescent="0.2">
      <c r="A11" s="148" t="b">
        <v>0</v>
      </c>
      <c r="B11" s="150" t="b">
        <v>0</v>
      </c>
      <c r="C11" s="155" t="b">
        <v>0</v>
      </c>
      <c r="R11" s="115"/>
      <c r="S11" s="115"/>
      <c r="AA11" s="144"/>
      <c r="AB11" s="144"/>
      <c r="AC11" s="145"/>
      <c r="AD11" s="146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1"/>
      <c r="AP11" s="142"/>
      <c r="AQ11" s="141"/>
      <c r="AR11" s="143"/>
    </row>
    <row r="12" spans="1:46" x14ac:dyDescent="0.2">
      <c r="A12" s="18"/>
      <c r="B12" s="151"/>
      <c r="AA12" s="185" t="s">
        <v>38</v>
      </c>
      <c r="AB12" s="186"/>
      <c r="AC12" s="187">
        <f t="shared" ref="AC12:AN12" si="0">SUM(AC14:AC38)</f>
        <v>0</v>
      </c>
      <c r="AD12" s="187">
        <f t="shared" si="0"/>
        <v>0</v>
      </c>
      <c r="AE12" s="116">
        <f t="shared" si="0"/>
        <v>0</v>
      </c>
      <c r="AF12" s="116">
        <f t="shared" si="0"/>
        <v>0</v>
      </c>
      <c r="AG12" s="116">
        <f t="shared" si="0"/>
        <v>0</v>
      </c>
      <c r="AH12" s="116">
        <f t="shared" si="0"/>
        <v>0</v>
      </c>
      <c r="AI12" s="116">
        <f t="shared" si="0"/>
        <v>0</v>
      </c>
      <c r="AJ12" s="116">
        <f t="shared" si="0"/>
        <v>0</v>
      </c>
      <c r="AK12" s="116">
        <f t="shared" si="0"/>
        <v>0</v>
      </c>
      <c r="AL12" s="116">
        <f t="shared" si="0"/>
        <v>0</v>
      </c>
      <c r="AM12" s="116">
        <f t="shared" si="0"/>
        <v>0</v>
      </c>
      <c r="AN12" s="116">
        <f t="shared" si="0"/>
        <v>0</v>
      </c>
      <c r="AO12" s="138" t="s">
        <v>1</v>
      </c>
      <c r="AP12" s="140"/>
      <c r="AQ12" s="139" t="s">
        <v>2</v>
      </c>
      <c r="AR12" s="79"/>
    </row>
    <row r="13" spans="1:46" ht="76.5" x14ac:dyDescent="0.2">
      <c r="A13" s="190" t="s">
        <v>228</v>
      </c>
      <c r="B13" s="190" t="s">
        <v>231</v>
      </c>
      <c r="C13" s="190" t="s">
        <v>93</v>
      </c>
      <c r="D13" s="190" t="s">
        <v>94</v>
      </c>
      <c r="E13" s="190" t="s">
        <v>46</v>
      </c>
      <c r="F13" s="190" t="s">
        <v>8</v>
      </c>
      <c r="G13" s="190" t="s">
        <v>257</v>
      </c>
      <c r="H13" s="190" t="s">
        <v>163</v>
      </c>
      <c r="I13" s="190" t="s">
        <v>127</v>
      </c>
      <c r="J13" s="190" t="s">
        <v>246</v>
      </c>
      <c r="K13" s="190" t="s">
        <v>247</v>
      </c>
      <c r="L13" s="190" t="s">
        <v>248</v>
      </c>
      <c r="M13" s="190" t="s">
        <v>249</v>
      </c>
      <c r="N13" s="190" t="s">
        <v>250</v>
      </c>
      <c r="O13" s="190" t="s">
        <v>251</v>
      </c>
      <c r="P13" s="190" t="s">
        <v>252</v>
      </c>
      <c r="Q13" s="190" t="s">
        <v>253</v>
      </c>
      <c r="R13" s="190" t="s">
        <v>254</v>
      </c>
      <c r="S13" s="190" t="s">
        <v>255</v>
      </c>
      <c r="T13" s="190" t="s">
        <v>230</v>
      </c>
      <c r="U13" s="190" t="s">
        <v>164</v>
      </c>
      <c r="V13" s="190" t="s">
        <v>165</v>
      </c>
      <c r="W13" s="190" t="s">
        <v>154</v>
      </c>
      <c r="X13" s="190" t="s">
        <v>153</v>
      </c>
      <c r="Y13" s="190" t="s">
        <v>96</v>
      </c>
      <c r="Z13" s="190" t="s">
        <v>24</v>
      </c>
      <c r="AA13" s="190" t="s">
        <v>39</v>
      </c>
      <c r="AB13" s="190" t="s">
        <v>236</v>
      </c>
      <c r="AC13" s="190" t="s">
        <v>25</v>
      </c>
      <c r="AD13" s="190" t="s">
        <v>26</v>
      </c>
      <c r="AE13" s="188" t="s">
        <v>41</v>
      </c>
      <c r="AF13" s="188" t="s">
        <v>27</v>
      </c>
      <c r="AG13" s="188" t="s">
        <v>40</v>
      </c>
      <c r="AH13" s="188" t="s">
        <v>28</v>
      </c>
      <c r="AI13" s="188" t="s">
        <v>30</v>
      </c>
      <c r="AJ13" s="188" t="s">
        <v>29</v>
      </c>
      <c r="AK13" s="188" t="s">
        <v>115</v>
      </c>
      <c r="AL13" s="188" t="s">
        <v>116</v>
      </c>
      <c r="AM13" s="188" t="s">
        <v>117</v>
      </c>
      <c r="AN13" s="188" t="s">
        <v>118</v>
      </c>
      <c r="AO13" s="189" t="s">
        <v>4</v>
      </c>
      <c r="AP13" s="189" t="s">
        <v>3</v>
      </c>
      <c r="AQ13" s="189" t="s">
        <v>5</v>
      </c>
      <c r="AR13" s="189" t="s">
        <v>6</v>
      </c>
      <c r="AS13" s="188" t="s">
        <v>161</v>
      </c>
      <c r="AT13" s="188" t="s">
        <v>162</v>
      </c>
    </row>
    <row r="14" spans="1:46" s="70" customFormat="1" x14ac:dyDescent="0.2">
      <c r="A14" s="133"/>
      <c r="B14" s="133"/>
      <c r="C14" s="134" t="str">
        <f t="shared" ref="C14:C38" si="1">IF($A14="","",VLOOKUP($A14,MeasureCode_Lookup,2,FALSE))</f>
        <v/>
      </c>
      <c r="D14" s="134" t="str">
        <f t="shared" ref="D14:D38" si="2">IF($A14="","",VLOOKUP($A14,MeasureCode_Lookup,3,FALSE))</f>
        <v/>
      </c>
      <c r="E14" s="134" t="str">
        <f t="shared" ref="E14:E38" si="3">IF($A14="","",VLOOKUP($A14,MeasureCode_Lookup,4,FALSE))</f>
        <v/>
      </c>
      <c r="F14" s="135"/>
      <c r="G14" s="135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129"/>
      <c r="T14" s="130"/>
      <c r="U14" s="130"/>
      <c r="V14" s="130"/>
      <c r="W14" s="128"/>
      <c r="X14" s="128"/>
      <c r="Y14" s="118"/>
      <c r="Z14" s="118"/>
      <c r="AA14" s="131">
        <f>IF(E14&lt;&gt;"",VLOOKUP(D14&amp;E14,'Incentive Structure'!$H$4:$J$60,2,0),0)</f>
        <v>0</v>
      </c>
      <c r="AB14" s="131">
        <f>IF(OR($A$10=TRUE,$A$11=TRUE,$B$10=TRUE,$B$11=TRUE,$C$10=TRUE,$C$11=TRUE)=TRUE,AA14,0)</f>
        <v>0</v>
      </c>
      <c r="AC14" s="131">
        <f>(AA14+AB14)*Y14</f>
        <v>0</v>
      </c>
      <c r="AD14" s="131">
        <f>Z14*(AA14+AB14)</f>
        <v>0</v>
      </c>
      <c r="AE14" s="132">
        <f>IF(ISBLANK($B14)=FALSE, kWSavingsPerUnit(D14,E14,H14,J14,K14,L14,M14,N14,O14,P14,AS14,AT14,Q14,T14,W14,X14,U14,V14,R14,S14)*$Y14, 0)</f>
        <v>0</v>
      </c>
      <c r="AF14" s="132">
        <f>IF(ISBLANK($B14)=FALSE,kWSavingsPerUnit(D14,E14,H14,J14,K14,L14,M14,N14,O14,P14,AS14,AT14,Q14,T14,W14,X14,U14,V14,R14,S14)*$Z14,0)</f>
        <v>0</v>
      </c>
      <c r="AG14" s="132">
        <f>IF(ISBLANK($B14)=FALSE,AnnualkWhSavingsPerUnit(D14,E14,H14,J14,K14,L14,M14,N14,O14,P14,AS14,AT14,Q14,T14,W14,X14,U14,V14,R14,S14)*$Y14,0)</f>
        <v>0</v>
      </c>
      <c r="AH14" s="132">
        <f>IF(ISBLANK($B14)=FALSE,AnnualkWhSavingsPerUnit(D14,E14,H14,J14,K14,L14,M14,N14,O14,P14,AS14,AT14,Q14,T14,W14,X14,U14,V14,R14,S14)*$Z14,0)</f>
        <v>0</v>
      </c>
      <c r="AI14" s="132">
        <f>IF($D14&lt;&gt;"",VLOOKUP($D14,'Building Type'!$H$4:$I$24,2,0),0)*$AG14</f>
        <v>0</v>
      </c>
      <c r="AJ14" s="132">
        <f>IF($D14&lt;&gt;"",VLOOKUP($D14,'Building Type'!$H$4:$I$24,2,0),0)*$AH14</f>
        <v>0</v>
      </c>
      <c r="AK14" s="132">
        <f>IF(ISBLANK($B14)=FALSE,AnnualThermSavingsPerUnit(D14,E14,H14,N14,O14,P14,AS14,AT14,Q14,T14,W14,X14,U14,V14,R14,S14)*$Y14,0)</f>
        <v>0</v>
      </c>
      <c r="AL14" s="132">
        <f>IF(ISBLANK($B14)=FALSE,AnnualThermSavingsPerUnit(D14,E14,H14,N14,O14,P14,AS14,AT14,Q14,T14,W14,X14,U14,V14,R14,S14)*$Z14,0)</f>
        <v>0</v>
      </c>
      <c r="AM14" s="132">
        <f>IF($D14&lt;&gt;"",VLOOKUP($D14,'Building Type'!$H$4:$I$24,2,0),0)*$AK14</f>
        <v>0</v>
      </c>
      <c r="AN14" s="132">
        <f>IF($D14&lt;&gt;"",VLOOKUP($D14,'Building Type'!$H$4:$I$24,2,0),0)*$AL14</f>
        <v>0</v>
      </c>
      <c r="AO14" s="69"/>
      <c r="AP14" s="69"/>
      <c r="AQ14" s="69"/>
      <c r="AR14" s="69"/>
      <c r="AS14" s="95">
        <f>IF(ISBLANK($I14)=FALSE,VLOOKUP($I14,'Building Type'!$A$4:$C$24,2,0),0)</f>
        <v>0</v>
      </c>
      <c r="AT14" s="95">
        <f>IF(ISBLANK($I14)=FALSE,VLOOKUP($I14,'Building Type'!$A$4:$C$24,3,0),0)</f>
        <v>0</v>
      </c>
    </row>
    <row r="15" spans="1:46" s="70" customFormat="1" x14ac:dyDescent="0.2">
      <c r="A15" s="133"/>
      <c r="B15" s="133"/>
      <c r="C15" s="134" t="str">
        <f t="shared" si="1"/>
        <v/>
      </c>
      <c r="D15" s="134" t="str">
        <f t="shared" si="2"/>
        <v/>
      </c>
      <c r="E15" s="134" t="str">
        <f t="shared" si="3"/>
        <v/>
      </c>
      <c r="F15" s="135"/>
      <c r="G15" s="135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  <c r="S15" s="129"/>
      <c r="T15" s="130"/>
      <c r="U15" s="130"/>
      <c r="V15" s="130"/>
      <c r="W15" s="128"/>
      <c r="X15" s="128"/>
      <c r="Y15" s="118"/>
      <c r="Z15" s="118"/>
      <c r="AA15" s="131">
        <f>IF(E15&lt;&gt;"",VLOOKUP(D15&amp;E15,'Incentive Structure'!$H$4:$J$60,2,0),0)</f>
        <v>0</v>
      </c>
      <c r="AB15" s="131">
        <f t="shared" ref="AB15:AB38" si="4">IF(OR($A$10=TRUE,$A$11=TRUE,$B$10=TRUE,$B$11=TRUE,$C$10=TRUE,$C$11=TRUE)=TRUE,AA15,0)</f>
        <v>0</v>
      </c>
      <c r="AC15" s="131">
        <f t="shared" ref="AC15:AC38" si="5">(AA15+AB15)*Y15</f>
        <v>0</v>
      </c>
      <c r="AD15" s="131">
        <f t="shared" ref="AD15:AD38" si="6">Z15*(AA15+AB15)</f>
        <v>0</v>
      </c>
      <c r="AE15" s="132">
        <f>IF(ISBLANK($B15)=FALSE, kWSavingsPerUnit(D15,E15,H15,J15,K15,L15,M15,N15,O15,P15,AS15,AT15,Q15,T15,W15,X15,U15,V15,R15,S15)*$Y15, 0)</f>
        <v>0</v>
      </c>
      <c r="AF15" s="132">
        <f>IF(ISBLANK($B15)=FALSE,kWSavingsPerUnit(D15,E15,H15,J15,K15,L15,M15,N15,O15,P15,AS15,AT15,Q15,T15,W15,X15,U15,V15,R15,S15)*$Z15,0)</f>
        <v>0</v>
      </c>
      <c r="AG15" s="132">
        <f>IF(ISBLANK($B15)=FALSE,AnnualkWhSavingsPerUnit(D15,E15,H15,J15,K15,L15,M15,N15,O15,P15,AS15,AT15,Q15,T15,W15,X15,U15,V15,R15,S15)*$Y15,0)</f>
        <v>0</v>
      </c>
      <c r="AH15" s="132">
        <f>IF(ISBLANK($B15)=FALSE,AnnualkWhSavingsPerUnit(D15,E15,H15,J15,K15,L15,M15,N15,O15,P15,AS15,AT15,Q15,T15,W15,X15,U15,V15,R15,S15)*$Z15,0)</f>
        <v>0</v>
      </c>
      <c r="AI15" s="132">
        <f>IF($D15&lt;&gt;"",VLOOKUP($D15,'Building Type'!$H$4:$I$24,2,0),0)*$AG15</f>
        <v>0</v>
      </c>
      <c r="AJ15" s="132">
        <f>IF($D15&lt;&gt;"",VLOOKUP($D15,'Building Type'!$H$4:$I$24,2,0),0)*$AH15</f>
        <v>0</v>
      </c>
      <c r="AK15" s="132">
        <f>IF(ISBLANK($B15)=FALSE,AnnualThermSavingsPerUnit(D15,E15,H15,N15,O15,P15,AS15,AT15,Q15,T15,W15,X15,U15,V15,R15,S15)*$Y15,0)</f>
        <v>0</v>
      </c>
      <c r="AL15" s="132">
        <f>IF(ISBLANK($B15)=FALSE,AnnualThermSavingsPerUnit(D15,E15,H15,N15,O15,P15,AS15,AT15,Q15,T15,W15,X15,U15,V15,R15,S15)*$Z15,0)</f>
        <v>0</v>
      </c>
      <c r="AM15" s="132">
        <f>IF($D15&lt;&gt;"",VLOOKUP($D15,'Building Type'!$H$4:$I$24,2,0),0)*$AK15</f>
        <v>0</v>
      </c>
      <c r="AN15" s="132">
        <f>IF($D15&lt;&gt;"",VLOOKUP($D15,'Building Type'!$H$4:$I$24,2,0),0)*$AL15</f>
        <v>0</v>
      </c>
      <c r="AO15" s="71"/>
      <c r="AP15" s="67"/>
      <c r="AQ15" s="71"/>
      <c r="AR15" s="67"/>
      <c r="AS15" s="95">
        <f>IF(ISBLANK($I15)=FALSE,VLOOKUP($I15,'Building Type'!$A$4:$C$24,2,0),0)</f>
        <v>0</v>
      </c>
      <c r="AT15" s="95">
        <f>IF(ISBLANK($I15)=FALSE,VLOOKUP($I15,'Building Type'!$A$4:$C$24,3,0),0)</f>
        <v>0</v>
      </c>
    </row>
    <row r="16" spans="1:46" s="70" customFormat="1" x14ac:dyDescent="0.2">
      <c r="A16" s="133"/>
      <c r="B16" s="133"/>
      <c r="C16" s="134" t="str">
        <f t="shared" si="1"/>
        <v/>
      </c>
      <c r="D16" s="134" t="str">
        <f t="shared" si="2"/>
        <v/>
      </c>
      <c r="E16" s="134" t="str">
        <f t="shared" si="3"/>
        <v/>
      </c>
      <c r="F16" s="135"/>
      <c r="G16" s="135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/>
      <c r="S16" s="129"/>
      <c r="T16" s="130"/>
      <c r="U16" s="130"/>
      <c r="V16" s="130"/>
      <c r="W16" s="128"/>
      <c r="X16" s="128"/>
      <c r="Y16" s="118"/>
      <c r="Z16" s="118"/>
      <c r="AA16" s="131">
        <f>IF(E16&lt;&gt;"",VLOOKUP(D16&amp;E16,'Incentive Structure'!$H$4:$J$60,2,0),0)</f>
        <v>0</v>
      </c>
      <c r="AB16" s="131">
        <f t="shared" si="4"/>
        <v>0</v>
      </c>
      <c r="AC16" s="131">
        <f t="shared" si="5"/>
        <v>0</v>
      </c>
      <c r="AD16" s="131">
        <f t="shared" si="6"/>
        <v>0</v>
      </c>
      <c r="AE16" s="132">
        <f>IF(ISBLANK($B16)=FALSE, kWSavingsPerUnit(D16,E16,H16,J16,K16,L16,M16,N16,O16,P16,AS16,AT16,Q16,T16,W16,X16,U16,V16,R16,S16)*$Y16, 0)</f>
        <v>0</v>
      </c>
      <c r="AF16" s="132">
        <f>IF(ISBLANK($B16)=FALSE,kWSavingsPerUnit(D16,E16,H16,J16,K16,L16,M16,N16,O16,P16,AS16,AT16,Q16,T16,W16,X16,U16,V16,R16,S16)*$Z16,0)</f>
        <v>0</v>
      </c>
      <c r="AG16" s="132">
        <f>IF(ISBLANK($B16)=FALSE,AnnualkWhSavingsPerUnit(D16,E16,H16,J16,K16,L16,M16,N16,O16,P16,AS16,AT16,Q16,T16,W16,X16,U16,V16,R16,S16)*$Y16,0)</f>
        <v>0</v>
      </c>
      <c r="AH16" s="132">
        <f>IF(ISBLANK($B16)=FALSE,AnnualkWhSavingsPerUnit(D16,E16,H16,J16,K16,L16,M16,N16,O16,P16,AS16,AT16,Q16,T16,W16,X16,U16,V16,R16,S16)*$Z16,0)</f>
        <v>0</v>
      </c>
      <c r="AI16" s="132">
        <f>IF($D16&lt;&gt;"",VLOOKUP($D16,'Building Type'!$H$4:$I$24,2,0),0)*$AG16</f>
        <v>0</v>
      </c>
      <c r="AJ16" s="132">
        <f>IF($D16&lt;&gt;"",VLOOKUP($D16,'Building Type'!$H$4:$I$24,2,0),0)*$AH16</f>
        <v>0</v>
      </c>
      <c r="AK16" s="132">
        <f>IF(ISBLANK($B16)=FALSE,AnnualThermSavingsPerUnit(D16,E16,H16,N16,O16,P16,AS16,AT16,Q16,T16,W16,X16,U16,V16,R16,S16)*$Y16,0)</f>
        <v>0</v>
      </c>
      <c r="AL16" s="132">
        <f>IF(ISBLANK($B16)=FALSE,AnnualThermSavingsPerUnit(D16,E16,H16,N16,O16,P16,AS16,AT16,Q16,T16,W16,X16,U16,V16,R16,S16)*$Z16,0)</f>
        <v>0</v>
      </c>
      <c r="AM16" s="132">
        <f>IF($D16&lt;&gt;"",VLOOKUP($D16,'Building Type'!$H$4:$I$24,2,0),0)*$AK16</f>
        <v>0</v>
      </c>
      <c r="AN16" s="132">
        <f>IF($D16&lt;&gt;"",VLOOKUP($D16,'Building Type'!$H$4:$I$24,2,0),0)*$AL16</f>
        <v>0</v>
      </c>
      <c r="AO16" s="71"/>
      <c r="AP16" s="67"/>
      <c r="AQ16" s="71"/>
      <c r="AR16" s="67"/>
      <c r="AS16" s="95">
        <f>IF(ISBLANK($I16)=FALSE,VLOOKUP($I16,'Building Type'!$A$4:$C$24,2,0),0)</f>
        <v>0</v>
      </c>
      <c r="AT16" s="95">
        <f>IF(ISBLANK($I16)=FALSE,VLOOKUP($I16,'Building Type'!$A$4:$C$24,3,0),0)</f>
        <v>0</v>
      </c>
    </row>
    <row r="17" spans="1:46" s="70" customFormat="1" x14ac:dyDescent="0.2">
      <c r="A17" s="133"/>
      <c r="B17" s="133"/>
      <c r="C17" s="134" t="str">
        <f t="shared" si="1"/>
        <v/>
      </c>
      <c r="D17" s="134" t="str">
        <f t="shared" si="2"/>
        <v/>
      </c>
      <c r="E17" s="134" t="str">
        <f t="shared" si="3"/>
        <v/>
      </c>
      <c r="F17" s="135"/>
      <c r="G17" s="135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9"/>
      <c r="T17" s="130"/>
      <c r="U17" s="130"/>
      <c r="V17" s="130"/>
      <c r="W17" s="128"/>
      <c r="X17" s="128"/>
      <c r="Y17" s="118"/>
      <c r="Z17" s="118"/>
      <c r="AA17" s="131">
        <f>IF(E17&lt;&gt;"",VLOOKUP(D17&amp;E17,'Incentive Structure'!$H$4:$J$60,2,0),0)</f>
        <v>0</v>
      </c>
      <c r="AB17" s="131">
        <f t="shared" si="4"/>
        <v>0</v>
      </c>
      <c r="AC17" s="131">
        <f t="shared" si="5"/>
        <v>0</v>
      </c>
      <c r="AD17" s="131">
        <f t="shared" si="6"/>
        <v>0</v>
      </c>
      <c r="AE17" s="132">
        <f>IF(ISBLANK($B17)=FALSE, kWSavingsPerUnit(D17,E17,H17,J17,K17,L17,M17,N17,O17,P17,AS17,AT17,Q17,T17,W17,X17,U17,V17,R17,S17)*$Y17, 0)</f>
        <v>0</v>
      </c>
      <c r="AF17" s="132">
        <f>IF(ISBLANK($B17)=FALSE,kWSavingsPerUnit(D17,E17,H17,J17,K17,L17,M17,N17,O17,P17,AS17,AT17,Q17,T17,W17,X17,U17,V17,R17,S17)*$Z17,0)</f>
        <v>0</v>
      </c>
      <c r="AG17" s="132">
        <f>IF(ISBLANK($B17)=FALSE,AnnualkWhSavingsPerUnit(D17,E17,H17,J17,K17,L17,M17,N17,O17,P17,AS17,AT17,Q17,T17,W17,X17,U17,V17,R17,S17)*$Y17,0)</f>
        <v>0</v>
      </c>
      <c r="AH17" s="132">
        <f>IF(ISBLANK($B17)=FALSE,AnnualkWhSavingsPerUnit(D17,E17,H17,J17,K17,L17,M17,N17,O17,P17,AS17,AT17,Q17,T17,W17,X17,U17,V17,R17,S17)*$Z17,0)</f>
        <v>0</v>
      </c>
      <c r="AI17" s="132">
        <f>IF($D17&lt;&gt;"",VLOOKUP($D17,'Building Type'!$H$4:$I$24,2,0),0)*$AG17</f>
        <v>0</v>
      </c>
      <c r="AJ17" s="132">
        <f>IF($D17&lt;&gt;"",VLOOKUP($D17,'Building Type'!$H$4:$I$24,2,0),0)*$AH17</f>
        <v>0</v>
      </c>
      <c r="AK17" s="132">
        <f>IF(ISBLANK($B17)=FALSE,AnnualThermSavingsPerUnit(D17,E17,H17,N17,O17,P17,AS17,AT17,Q17,T17,W17,X17,U17,V17,R17,S17)*$Y17,0)</f>
        <v>0</v>
      </c>
      <c r="AL17" s="132">
        <f>IF(ISBLANK($B17)=FALSE,AnnualThermSavingsPerUnit(D17,E17,H17,N17,O17,P17,AS17,AT17,Q17,T17,W17,X17,U17,V17,R17,S17)*$Z17,0)</f>
        <v>0</v>
      </c>
      <c r="AM17" s="132">
        <f>IF($D17&lt;&gt;"",VLOOKUP($D17,'Building Type'!$H$4:$I$24,2,0),0)*$AK17</f>
        <v>0</v>
      </c>
      <c r="AN17" s="132">
        <f>IF($D17&lt;&gt;"",VLOOKUP($D17,'Building Type'!$H$4:$I$24,2,0),0)*$AL17</f>
        <v>0</v>
      </c>
      <c r="AO17" s="71"/>
      <c r="AP17" s="67"/>
      <c r="AQ17" s="71"/>
      <c r="AR17" s="67"/>
      <c r="AS17" s="95">
        <f>IF(ISBLANK($I17)=FALSE,VLOOKUP($I17,'Building Type'!$A$4:$C$24,2,0),0)</f>
        <v>0</v>
      </c>
      <c r="AT17" s="95">
        <f>IF(ISBLANK($I17)=FALSE,VLOOKUP($I17,'Building Type'!$A$4:$C$24,3,0),0)</f>
        <v>0</v>
      </c>
    </row>
    <row r="18" spans="1:46" s="70" customFormat="1" x14ac:dyDescent="0.2">
      <c r="A18" s="133"/>
      <c r="B18" s="133"/>
      <c r="C18" s="134" t="str">
        <f t="shared" si="1"/>
        <v/>
      </c>
      <c r="D18" s="134" t="str">
        <f t="shared" si="2"/>
        <v/>
      </c>
      <c r="E18" s="134" t="str">
        <f t="shared" si="3"/>
        <v/>
      </c>
      <c r="F18" s="135"/>
      <c r="G18" s="135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9"/>
      <c r="T18" s="130"/>
      <c r="U18" s="130"/>
      <c r="V18" s="130"/>
      <c r="W18" s="128"/>
      <c r="X18" s="128"/>
      <c r="Y18" s="118"/>
      <c r="Z18" s="118"/>
      <c r="AA18" s="131">
        <f>IF(E18&lt;&gt;"",VLOOKUP(D18&amp;E18,'Incentive Structure'!$H$4:$J$60,2,0),0)</f>
        <v>0</v>
      </c>
      <c r="AB18" s="131">
        <f t="shared" si="4"/>
        <v>0</v>
      </c>
      <c r="AC18" s="131">
        <f t="shared" si="5"/>
        <v>0</v>
      </c>
      <c r="AD18" s="131">
        <f t="shared" si="6"/>
        <v>0</v>
      </c>
      <c r="AE18" s="132">
        <f>IF(ISBLANK($B18)=FALSE, kWSavingsPerUnit(D18,E18,H18,J18,K18,L18,M18,N18,O18,P18,AS18,AT18,Q18,T18,W18,X18,U18,V18,R18,S18)*$Y18, 0)</f>
        <v>0</v>
      </c>
      <c r="AF18" s="132">
        <f>IF(ISBLANK($B18)=FALSE,kWSavingsPerUnit(D18,E18,H18,J18,K18,L18,M18,N18,O18,P18,AS18,AT18,Q18,T18,W18,X18,U18,V18,R18,S18)*$Z18,0)</f>
        <v>0</v>
      </c>
      <c r="AG18" s="132">
        <f>IF(ISBLANK($B18)=FALSE,AnnualkWhSavingsPerUnit(D18,E18,H18,J18,K18,L18,M18,N18,O18,P18,AS18,AT18,Q18,T18,W18,X18,U18,V18,R18,S18)*$Y18,0)</f>
        <v>0</v>
      </c>
      <c r="AH18" s="132">
        <f>IF(ISBLANK($B18)=FALSE,AnnualkWhSavingsPerUnit(D18,E18,H18,J18,K18,L18,M18,N18,O18,P18,AS18,AT18,Q18,T18,W18,X18,U18,V18,R18,S18)*$Z18,0)</f>
        <v>0</v>
      </c>
      <c r="AI18" s="132">
        <f>IF($D18&lt;&gt;"",VLOOKUP($D18,'Building Type'!$H$4:$I$24,2,0),0)*$AG18</f>
        <v>0</v>
      </c>
      <c r="AJ18" s="132">
        <f>IF($D18&lt;&gt;"",VLOOKUP($D18,'Building Type'!$H$4:$I$24,2,0),0)*$AH18</f>
        <v>0</v>
      </c>
      <c r="AK18" s="132">
        <f>IF(ISBLANK($B18)=FALSE,AnnualThermSavingsPerUnit(D18,E18,H18,N18,O18,P18,AS18,AT18,Q18,T18,W18,X18,U18,V18,R18,S18)*$Y18,0)</f>
        <v>0</v>
      </c>
      <c r="AL18" s="132">
        <f>IF(ISBLANK($B18)=FALSE,AnnualThermSavingsPerUnit(D18,E18,H18,N18,O18,P18,AS18,AT18,Q18,T18,W18,X18,U18,V18,R18,S18)*$Z18,0)</f>
        <v>0</v>
      </c>
      <c r="AM18" s="132">
        <f>IF($D18&lt;&gt;"",VLOOKUP($D18,'Building Type'!$H$4:$I$24,2,0),0)*$AK18</f>
        <v>0</v>
      </c>
      <c r="AN18" s="132">
        <f>IF($D18&lt;&gt;"",VLOOKUP($D18,'Building Type'!$H$4:$I$24,2,0),0)*$AL18</f>
        <v>0</v>
      </c>
      <c r="AO18" s="71"/>
      <c r="AP18" s="67"/>
      <c r="AQ18" s="71"/>
      <c r="AR18" s="67"/>
      <c r="AS18" s="95">
        <f>IF(ISBLANK($I18)=FALSE,VLOOKUP($I18,'Building Type'!$A$4:$C$24,2,0),0)</f>
        <v>0</v>
      </c>
      <c r="AT18" s="95">
        <f>IF(ISBLANK($I18)=FALSE,VLOOKUP($I18,'Building Type'!$A$4:$C$24,3,0),0)</f>
        <v>0</v>
      </c>
    </row>
    <row r="19" spans="1:46" s="70" customFormat="1" x14ac:dyDescent="0.2">
      <c r="A19" s="133"/>
      <c r="B19" s="133"/>
      <c r="C19" s="134" t="str">
        <f t="shared" si="1"/>
        <v/>
      </c>
      <c r="D19" s="134" t="str">
        <f t="shared" si="2"/>
        <v/>
      </c>
      <c r="E19" s="134" t="str">
        <f t="shared" si="3"/>
        <v/>
      </c>
      <c r="F19" s="135"/>
      <c r="G19" s="135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9"/>
      <c r="T19" s="130"/>
      <c r="U19" s="130"/>
      <c r="V19" s="130"/>
      <c r="W19" s="128"/>
      <c r="X19" s="128"/>
      <c r="Y19" s="118"/>
      <c r="Z19" s="118"/>
      <c r="AA19" s="131">
        <f>IF(E19&lt;&gt;"",VLOOKUP(D19&amp;E19,'Incentive Structure'!$H$4:$J$60,2,0),0)</f>
        <v>0</v>
      </c>
      <c r="AB19" s="131">
        <f t="shared" si="4"/>
        <v>0</v>
      </c>
      <c r="AC19" s="131">
        <f t="shared" si="5"/>
        <v>0</v>
      </c>
      <c r="AD19" s="131">
        <f t="shared" si="6"/>
        <v>0</v>
      </c>
      <c r="AE19" s="132">
        <f>IF(ISBLANK($B19)=FALSE, kWSavingsPerUnit(D19,E19,H19,J19,K19,L19,M19,N19,O19,P19,AS19,AT19,Q19,T19,W19,X19,U19,V19,R19,S19)*$Y19, 0)</f>
        <v>0</v>
      </c>
      <c r="AF19" s="132">
        <f>IF(ISBLANK($B19)=FALSE,kWSavingsPerUnit(D19,E19,H19,J19,K19,L19,M19,N19,O19,P19,AS19,AT19,Q19,T19,W19,X19,U19,V19,R19,S19)*$Z19,0)</f>
        <v>0</v>
      </c>
      <c r="AG19" s="132">
        <f>IF(ISBLANK($B19)=FALSE,AnnualkWhSavingsPerUnit(D19,E19,H19,J19,K19,L19,M19,N19,O19,P19,AS19,AT19,Q19,T19,W19,X19,U19,V19,R19,S19)*$Y19,0)</f>
        <v>0</v>
      </c>
      <c r="AH19" s="132">
        <f>IF(ISBLANK($B19)=FALSE,AnnualkWhSavingsPerUnit(D19,E19,H19,J19,K19,L19,M19,N19,O19,P19,AS19,AT19,Q19,T19,W19,X19,U19,V19,R19,S19)*$Z19,0)</f>
        <v>0</v>
      </c>
      <c r="AI19" s="132">
        <f>IF($D19&lt;&gt;"",VLOOKUP($D19,'Building Type'!$H$4:$I$24,2,0),0)*$AG19</f>
        <v>0</v>
      </c>
      <c r="AJ19" s="132">
        <f>IF($D19&lt;&gt;"",VLOOKUP($D19,'Building Type'!$H$4:$I$24,2,0),0)*$AH19</f>
        <v>0</v>
      </c>
      <c r="AK19" s="132">
        <f>IF(ISBLANK($B19)=FALSE,AnnualThermSavingsPerUnit(D19,E19,H19,N19,O19,P19,AS19,AT19,Q19,T19,W19,X19,U19,V19,R19,S19)*$Y19,0)</f>
        <v>0</v>
      </c>
      <c r="AL19" s="132">
        <f>IF(ISBLANK($B19)=FALSE,AnnualThermSavingsPerUnit(D19,E19,H19,N19,O19,P19,AS19,AT19,Q19,T19,W19,X19,U19,V19,R19,S19)*$Z19,0)</f>
        <v>0</v>
      </c>
      <c r="AM19" s="132">
        <f>IF($D19&lt;&gt;"",VLOOKUP($D19,'Building Type'!$H$4:$I$24,2,0),0)*$AK19</f>
        <v>0</v>
      </c>
      <c r="AN19" s="132">
        <f>IF($D19&lt;&gt;"",VLOOKUP($D19,'Building Type'!$H$4:$I$24,2,0),0)*$AL19</f>
        <v>0</v>
      </c>
      <c r="AO19" s="71"/>
      <c r="AP19" s="67"/>
      <c r="AQ19" s="71"/>
      <c r="AR19" s="67"/>
      <c r="AS19" s="95">
        <f>IF(ISBLANK($I19)=FALSE,VLOOKUP($I19,'Building Type'!$A$4:$C$24,2,0),0)</f>
        <v>0</v>
      </c>
      <c r="AT19" s="95">
        <f>IF(ISBLANK($I19)=FALSE,VLOOKUP($I19,'Building Type'!$A$4:$C$24,3,0),0)</f>
        <v>0</v>
      </c>
    </row>
    <row r="20" spans="1:46" s="70" customFormat="1" x14ac:dyDescent="0.2">
      <c r="A20" s="133"/>
      <c r="B20" s="133"/>
      <c r="C20" s="134" t="str">
        <f t="shared" si="1"/>
        <v/>
      </c>
      <c r="D20" s="134" t="str">
        <f t="shared" si="2"/>
        <v/>
      </c>
      <c r="E20" s="134" t="str">
        <f t="shared" si="3"/>
        <v/>
      </c>
      <c r="F20" s="135"/>
      <c r="G20" s="135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29"/>
      <c r="T20" s="130"/>
      <c r="U20" s="130"/>
      <c r="V20" s="130"/>
      <c r="W20" s="128"/>
      <c r="X20" s="128"/>
      <c r="Y20" s="118"/>
      <c r="Z20" s="118"/>
      <c r="AA20" s="131">
        <f>IF(E20&lt;&gt;"",VLOOKUP(D20&amp;E20,'Incentive Structure'!$H$4:$J$60,2,0),0)</f>
        <v>0</v>
      </c>
      <c r="AB20" s="131">
        <f t="shared" si="4"/>
        <v>0</v>
      </c>
      <c r="AC20" s="131">
        <f t="shared" si="5"/>
        <v>0</v>
      </c>
      <c r="AD20" s="131">
        <f t="shared" si="6"/>
        <v>0</v>
      </c>
      <c r="AE20" s="132">
        <f>IF(ISBLANK($B20)=FALSE, kWSavingsPerUnit(D20,E20,H20,J20,K20,L20,M20,N20,O20,P20,AS20,AT20,Q20,T20,W20,X20,U20,V20,R20,S20)*$Y20, 0)</f>
        <v>0</v>
      </c>
      <c r="AF20" s="132">
        <f>IF(ISBLANK($B20)=FALSE,kWSavingsPerUnit(D20,E20,H20,J20,K20,L20,M20,N20,O20,P20,AS20,AT20,Q20,T20,W20,X20,U20,V20,R20,S20)*$Z20,0)</f>
        <v>0</v>
      </c>
      <c r="AG20" s="132">
        <f>IF(ISBLANK($B20)=FALSE,AnnualkWhSavingsPerUnit(D20,E20,H20,J20,K20,L20,M20,N20,O20,P20,AS20,AT20,Q20,T20,W20,X20,U20,V20,R20,S20)*$Y20,0)</f>
        <v>0</v>
      </c>
      <c r="AH20" s="132">
        <f>IF(ISBLANK($B20)=FALSE,AnnualkWhSavingsPerUnit(D20,E20,H20,J20,K20,L20,M20,N20,O20,P20,AS20,AT20,Q20,T20,W20,X20,U20,V20,R20,S20)*$Z20,0)</f>
        <v>0</v>
      </c>
      <c r="AI20" s="132">
        <f>IF($D20&lt;&gt;"",VLOOKUP($D20,'Building Type'!$H$4:$I$24,2,0),0)*$AG20</f>
        <v>0</v>
      </c>
      <c r="AJ20" s="132">
        <f>IF($D20&lt;&gt;"",VLOOKUP($D20,'Building Type'!$H$4:$I$24,2,0),0)*$AH20</f>
        <v>0</v>
      </c>
      <c r="AK20" s="132">
        <f>IF(ISBLANK($B20)=FALSE,AnnualThermSavingsPerUnit(D20,E20,H20,N20,O20,P20,AS20,AT20,Q20,T20,W20,X20,U20,V20,R20,S20)*$Y20,0)</f>
        <v>0</v>
      </c>
      <c r="AL20" s="132">
        <f>IF(ISBLANK($B20)=FALSE,AnnualThermSavingsPerUnit(D20,E20,H20,N20,O20,P20,AS20,AT20,Q20,T20,W20,X20,U20,V20,R20,S20)*$Z20,0)</f>
        <v>0</v>
      </c>
      <c r="AM20" s="132">
        <f>IF($D20&lt;&gt;"",VLOOKUP($D20,'Building Type'!$H$4:$I$24,2,0),0)*$AK20</f>
        <v>0</v>
      </c>
      <c r="AN20" s="132">
        <f>IF($D20&lt;&gt;"",VLOOKUP($D20,'Building Type'!$H$4:$I$24,2,0),0)*$AL20</f>
        <v>0</v>
      </c>
      <c r="AO20" s="71"/>
      <c r="AP20" s="67"/>
      <c r="AQ20" s="71"/>
      <c r="AR20" s="67"/>
      <c r="AS20" s="95">
        <f>IF(ISBLANK($I20)=FALSE,VLOOKUP($I20,'Building Type'!$A$4:$C$24,2,0),0)</f>
        <v>0</v>
      </c>
      <c r="AT20" s="95">
        <f>IF(ISBLANK($I20)=FALSE,VLOOKUP($I20,'Building Type'!$A$4:$C$24,3,0),0)</f>
        <v>0</v>
      </c>
    </row>
    <row r="21" spans="1:46" s="70" customFormat="1" x14ac:dyDescent="0.2">
      <c r="A21" s="133"/>
      <c r="B21" s="133"/>
      <c r="C21" s="134" t="str">
        <f t="shared" si="1"/>
        <v/>
      </c>
      <c r="D21" s="134" t="str">
        <f t="shared" si="2"/>
        <v/>
      </c>
      <c r="E21" s="134" t="str">
        <f t="shared" si="3"/>
        <v/>
      </c>
      <c r="F21" s="135"/>
      <c r="G21" s="135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129"/>
      <c r="T21" s="130"/>
      <c r="U21" s="130"/>
      <c r="V21" s="130"/>
      <c r="W21" s="128"/>
      <c r="X21" s="128"/>
      <c r="Y21" s="118"/>
      <c r="Z21" s="118"/>
      <c r="AA21" s="131">
        <f>IF(E21&lt;&gt;"",VLOOKUP(D21&amp;E21,'Incentive Structure'!$H$4:$J$60,2,0),0)</f>
        <v>0</v>
      </c>
      <c r="AB21" s="131">
        <f t="shared" si="4"/>
        <v>0</v>
      </c>
      <c r="AC21" s="131">
        <f t="shared" si="5"/>
        <v>0</v>
      </c>
      <c r="AD21" s="131">
        <f t="shared" si="6"/>
        <v>0</v>
      </c>
      <c r="AE21" s="132">
        <f>IF(ISBLANK($B21)=FALSE, kWSavingsPerUnit(D21,E21,H21,J21,K21,L21,M21,N21,O21,P21,AS21,AT21,Q21,T21,W21,X21,U21,V21,R21,S21)*$Y21, 0)</f>
        <v>0</v>
      </c>
      <c r="AF21" s="132">
        <f>IF(ISBLANK($B21)=FALSE,kWSavingsPerUnit(D21,E21,H21,J21,K21,L21,M21,N21,O21,P21,AS21,AT21,Q21,T21,W21,X21,U21,V21,R21,S21)*$Z21,0)</f>
        <v>0</v>
      </c>
      <c r="AG21" s="132">
        <f>IF(ISBLANK($B21)=FALSE,AnnualkWhSavingsPerUnit(D21,E21,H21,J21,K21,L21,M21,N21,O21,P21,AS21,AT21,Q21,T21,W21,X21,U21,V21,R21,S21)*$Y21,0)</f>
        <v>0</v>
      </c>
      <c r="AH21" s="132">
        <f>IF(ISBLANK($B21)=FALSE,AnnualkWhSavingsPerUnit(D21,E21,H21,J21,K21,L21,M21,N21,O21,P21,AS21,AT21,Q21,T21,W21,X21,U21,V21,R21,S21)*$Z21,0)</f>
        <v>0</v>
      </c>
      <c r="AI21" s="132">
        <f>IF($D21&lt;&gt;"",VLOOKUP($D21,'Building Type'!$H$4:$I$24,2,0),0)*$AG21</f>
        <v>0</v>
      </c>
      <c r="AJ21" s="132">
        <f>IF($D21&lt;&gt;"",VLOOKUP($D21,'Building Type'!$H$4:$I$24,2,0),0)*$AH21</f>
        <v>0</v>
      </c>
      <c r="AK21" s="132">
        <f>IF(ISBLANK($B21)=FALSE,AnnualThermSavingsPerUnit(D21,E21,H21,N21,O21,P21,AS21,AT21,Q21,T21,W21,X21,U21,V21,R21,S21)*$Y21,0)</f>
        <v>0</v>
      </c>
      <c r="AL21" s="132">
        <f>IF(ISBLANK($B21)=FALSE,AnnualThermSavingsPerUnit(D21,E21,H21,N21,O21,P21,AS21,AT21,Q21,T21,W21,X21,U21,V21,R21,S21)*$Z21,0)</f>
        <v>0</v>
      </c>
      <c r="AM21" s="132">
        <f>IF($D21&lt;&gt;"",VLOOKUP($D21,'Building Type'!$H$4:$I$24,2,0),0)*$AK21</f>
        <v>0</v>
      </c>
      <c r="AN21" s="132">
        <f>IF($D21&lt;&gt;"",VLOOKUP($D21,'Building Type'!$H$4:$I$24,2,0),0)*$AL21</f>
        <v>0</v>
      </c>
      <c r="AO21" s="71"/>
      <c r="AP21" s="67"/>
      <c r="AQ21" s="71"/>
      <c r="AR21" s="67"/>
      <c r="AS21" s="95">
        <f>IF(ISBLANK($I21)=FALSE,VLOOKUP($I21,'Building Type'!$A$4:$C$24,2,0),0)</f>
        <v>0</v>
      </c>
      <c r="AT21" s="95">
        <f>IF(ISBLANK($I21)=FALSE,VLOOKUP($I21,'Building Type'!$A$4:$C$24,3,0),0)</f>
        <v>0</v>
      </c>
    </row>
    <row r="22" spans="1:46" s="70" customFormat="1" x14ac:dyDescent="0.2">
      <c r="A22" s="133"/>
      <c r="B22" s="133"/>
      <c r="C22" s="134" t="str">
        <f t="shared" si="1"/>
        <v/>
      </c>
      <c r="D22" s="134" t="str">
        <f t="shared" si="2"/>
        <v/>
      </c>
      <c r="E22" s="134" t="str">
        <f t="shared" si="3"/>
        <v/>
      </c>
      <c r="F22" s="135"/>
      <c r="G22" s="135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/>
      <c r="S22" s="129"/>
      <c r="T22" s="130"/>
      <c r="U22" s="130"/>
      <c r="V22" s="130"/>
      <c r="W22" s="128"/>
      <c r="X22" s="128"/>
      <c r="Y22" s="118"/>
      <c r="Z22" s="118"/>
      <c r="AA22" s="131">
        <f>IF(E22&lt;&gt;"",VLOOKUP(D22&amp;E22,'Incentive Structure'!$H$4:$J$60,2,0),0)</f>
        <v>0</v>
      </c>
      <c r="AB22" s="131">
        <f t="shared" si="4"/>
        <v>0</v>
      </c>
      <c r="AC22" s="131">
        <f t="shared" si="5"/>
        <v>0</v>
      </c>
      <c r="AD22" s="131">
        <f t="shared" si="6"/>
        <v>0</v>
      </c>
      <c r="AE22" s="132">
        <f>IF(ISBLANK($B22)=FALSE, kWSavingsPerUnit(D22,E22,H22,J22,K22,L22,M22,N22,O22,P22,AS22,AT22,Q22,T22,W22,X22,U22,V22,R22,S22)*$Y22, 0)</f>
        <v>0</v>
      </c>
      <c r="AF22" s="132">
        <f>IF(ISBLANK($B22)=FALSE,kWSavingsPerUnit(D22,E22,H22,J22,K22,L22,M22,N22,O22,P22,AS22,AT22,Q22,T22,W22,X22,U22,V22,R22,S22)*$Z22,0)</f>
        <v>0</v>
      </c>
      <c r="AG22" s="132">
        <f>IF(ISBLANK($B22)=FALSE,AnnualkWhSavingsPerUnit(D22,E22,H22,J22,K22,L22,M22,N22,O22,P22,AS22,AT22,Q22,T22,W22,X22,U22,V22,R22,S22)*$Y22,0)</f>
        <v>0</v>
      </c>
      <c r="AH22" s="132">
        <f>IF(ISBLANK($B22)=FALSE,AnnualkWhSavingsPerUnit(D22,E22,H22,J22,K22,L22,M22,N22,O22,P22,AS22,AT22,Q22,T22,W22,X22,U22,V22,R22,S22)*$Z22,0)</f>
        <v>0</v>
      </c>
      <c r="AI22" s="132">
        <f>IF($D22&lt;&gt;"",VLOOKUP($D22,'Building Type'!$H$4:$I$24,2,0),0)*$AG22</f>
        <v>0</v>
      </c>
      <c r="AJ22" s="132">
        <f>IF($D22&lt;&gt;"",VLOOKUP($D22,'Building Type'!$H$4:$I$24,2,0),0)*$AH22</f>
        <v>0</v>
      </c>
      <c r="AK22" s="132">
        <f>IF(ISBLANK($B22)=FALSE,AnnualThermSavingsPerUnit(D22,E22,H22,N22,O22,P22,AS22,AT22,Q22,T22,W22,X22,U22,V22,R22,S22)*$Y22,0)</f>
        <v>0</v>
      </c>
      <c r="AL22" s="132">
        <f>IF(ISBLANK($B22)=FALSE,AnnualThermSavingsPerUnit(D22,E22,H22,N22,O22,P22,AS22,AT22,Q22,T22,W22,X22,U22,V22,R22,S22)*$Z22,0)</f>
        <v>0</v>
      </c>
      <c r="AM22" s="132">
        <f>IF($D22&lt;&gt;"",VLOOKUP($D22,'Building Type'!$H$4:$I$24,2,0),0)*$AK22</f>
        <v>0</v>
      </c>
      <c r="AN22" s="132">
        <f>IF($D22&lt;&gt;"",VLOOKUP($D22,'Building Type'!$H$4:$I$24,2,0),0)*$AL22</f>
        <v>0</v>
      </c>
      <c r="AO22" s="71"/>
      <c r="AP22" s="67"/>
      <c r="AQ22" s="71"/>
      <c r="AR22" s="67"/>
      <c r="AS22" s="95">
        <f>IF(ISBLANK($I22)=FALSE,VLOOKUP($I22,'Building Type'!$A$4:$C$24,2,0),0)</f>
        <v>0</v>
      </c>
      <c r="AT22" s="95">
        <f>IF(ISBLANK($I22)=FALSE,VLOOKUP($I22,'Building Type'!$A$4:$C$24,3,0),0)</f>
        <v>0</v>
      </c>
    </row>
    <row r="23" spans="1:46" s="70" customFormat="1" x14ac:dyDescent="0.2">
      <c r="A23" s="133"/>
      <c r="B23" s="133"/>
      <c r="C23" s="134" t="str">
        <f t="shared" si="1"/>
        <v/>
      </c>
      <c r="D23" s="134" t="str">
        <f t="shared" si="2"/>
        <v/>
      </c>
      <c r="E23" s="134" t="str">
        <f t="shared" si="3"/>
        <v/>
      </c>
      <c r="F23" s="135"/>
      <c r="G23" s="13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29"/>
      <c r="T23" s="130"/>
      <c r="U23" s="130"/>
      <c r="V23" s="130"/>
      <c r="W23" s="128"/>
      <c r="X23" s="128"/>
      <c r="Y23" s="118"/>
      <c r="Z23" s="118"/>
      <c r="AA23" s="131">
        <f>IF(E23&lt;&gt;"",VLOOKUP(D23&amp;E23,'Incentive Structure'!$H$4:$J$60,2,0),0)</f>
        <v>0</v>
      </c>
      <c r="AB23" s="131">
        <f t="shared" si="4"/>
        <v>0</v>
      </c>
      <c r="AC23" s="131">
        <f t="shared" si="5"/>
        <v>0</v>
      </c>
      <c r="AD23" s="131">
        <f t="shared" si="6"/>
        <v>0</v>
      </c>
      <c r="AE23" s="132">
        <f>IF(ISBLANK($B23)=FALSE, kWSavingsPerUnit(D23,E23,H23,J23,K23,L23,M23,N23,O23,P23,AS23,AT23,Q23,T23,W23,X23,U23,V23,R23,S23)*$Y23, 0)</f>
        <v>0</v>
      </c>
      <c r="AF23" s="132">
        <f>IF(ISBLANK($B23)=FALSE,kWSavingsPerUnit(D23,E23,H23,J23,K23,L23,M23,N23,O23,P23,AS23,AT23,Q23,T23,W23,X23,U23,V23,R23,S23)*$Z23,0)</f>
        <v>0</v>
      </c>
      <c r="AG23" s="132">
        <f>IF(ISBLANK($B23)=FALSE,AnnualkWhSavingsPerUnit(D23,E23,H23,J23,K23,L23,M23,N23,O23,P23,AS23,AT23,Q23,T23,W23,X23,U23,V23,R23,S23)*$Y23,0)</f>
        <v>0</v>
      </c>
      <c r="AH23" s="132">
        <f>IF(ISBLANK($B23)=FALSE,AnnualkWhSavingsPerUnit(D23,E23,H23,J23,K23,L23,M23,N23,O23,P23,AS23,AT23,Q23,T23,W23,X23,U23,V23,R23,S23)*$Z23,0)</f>
        <v>0</v>
      </c>
      <c r="AI23" s="132">
        <f>IF($D23&lt;&gt;"",VLOOKUP($D23,'Building Type'!$H$4:$I$24,2,0),0)*$AG23</f>
        <v>0</v>
      </c>
      <c r="AJ23" s="132">
        <f>IF($D23&lt;&gt;"",VLOOKUP($D23,'Building Type'!$H$4:$I$24,2,0),0)*$AH23</f>
        <v>0</v>
      </c>
      <c r="AK23" s="132">
        <f>IF(ISBLANK($B23)=FALSE,AnnualThermSavingsPerUnit(D23,E23,H23,N23,O23,P23,AS23,AT23,Q23,T23,W23,X23,U23,V23,R23,S23)*$Y23,0)</f>
        <v>0</v>
      </c>
      <c r="AL23" s="132">
        <f>IF(ISBLANK($B23)=FALSE,AnnualThermSavingsPerUnit(D23,E23,H23,N23,O23,P23,AS23,AT23,Q23,T23,W23,X23,U23,V23,R23,S23)*$Z23,0)</f>
        <v>0</v>
      </c>
      <c r="AM23" s="132">
        <f>IF($D23&lt;&gt;"",VLOOKUP($D23,'Building Type'!$H$4:$I$24,2,0),0)*$AK23</f>
        <v>0</v>
      </c>
      <c r="AN23" s="132">
        <f>IF($D23&lt;&gt;"",VLOOKUP($D23,'Building Type'!$H$4:$I$24,2,0),0)*$AL23</f>
        <v>0</v>
      </c>
      <c r="AO23" s="71"/>
      <c r="AP23" s="67"/>
      <c r="AQ23" s="71"/>
      <c r="AR23" s="67"/>
      <c r="AS23" s="95">
        <f>IF(ISBLANK($I23)=FALSE,VLOOKUP($I23,'Building Type'!$A$4:$C$24,2,0),0)</f>
        <v>0</v>
      </c>
      <c r="AT23" s="95">
        <f>IF(ISBLANK($I23)=FALSE,VLOOKUP($I23,'Building Type'!$A$4:$C$24,3,0),0)</f>
        <v>0</v>
      </c>
    </row>
    <row r="24" spans="1:46" s="70" customFormat="1" x14ac:dyDescent="0.2">
      <c r="A24" s="133"/>
      <c r="B24" s="133"/>
      <c r="C24" s="134" t="str">
        <f t="shared" si="1"/>
        <v/>
      </c>
      <c r="D24" s="134" t="str">
        <f t="shared" si="2"/>
        <v/>
      </c>
      <c r="E24" s="134" t="str">
        <f t="shared" si="3"/>
        <v/>
      </c>
      <c r="F24" s="135"/>
      <c r="G24" s="135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129"/>
      <c r="T24" s="130"/>
      <c r="U24" s="130"/>
      <c r="V24" s="130"/>
      <c r="W24" s="128"/>
      <c r="X24" s="128"/>
      <c r="Y24" s="118"/>
      <c r="Z24" s="118"/>
      <c r="AA24" s="131">
        <f>IF(E24&lt;&gt;"",VLOOKUP(D24&amp;E24,'Incentive Structure'!$H$4:$J$60,2,0),0)</f>
        <v>0</v>
      </c>
      <c r="AB24" s="131">
        <f t="shared" si="4"/>
        <v>0</v>
      </c>
      <c r="AC24" s="131">
        <f t="shared" si="5"/>
        <v>0</v>
      </c>
      <c r="AD24" s="131">
        <f t="shared" si="6"/>
        <v>0</v>
      </c>
      <c r="AE24" s="132">
        <f>IF(ISBLANK($B24)=FALSE, kWSavingsPerUnit(D24,E24,H24,J24,K24,L24,M24,N24,O24,P24,AS24,AT24,Q24,T24,W24,X24,U24,V24,R24,S24)*$Y24, 0)</f>
        <v>0</v>
      </c>
      <c r="AF24" s="132">
        <f>IF(ISBLANK($B24)=FALSE,kWSavingsPerUnit(D24,E24,H24,J24,K24,L24,M24,N24,O24,P24,AS24,AT24,Q24,T24,W24,X24,U24,V24,R24,S24)*$Z24,0)</f>
        <v>0</v>
      </c>
      <c r="AG24" s="132">
        <f>IF(ISBLANK($B24)=FALSE,AnnualkWhSavingsPerUnit(D24,E24,H24,J24,K24,L24,M24,N24,O24,P24,AS24,AT24,Q24,T24,W24,X24,U24,V24,R24,S24)*$Y24,0)</f>
        <v>0</v>
      </c>
      <c r="AH24" s="132">
        <f>IF(ISBLANK($B24)=FALSE,AnnualkWhSavingsPerUnit(D24,E24,H24,J24,K24,L24,M24,N24,O24,P24,AS24,AT24,Q24,T24,W24,X24,U24,V24,R24,S24)*$Z24,0)</f>
        <v>0</v>
      </c>
      <c r="AI24" s="132">
        <f>IF($D24&lt;&gt;"",VLOOKUP($D24,'Building Type'!$H$4:$I$24,2,0),0)*$AG24</f>
        <v>0</v>
      </c>
      <c r="AJ24" s="132">
        <f>IF($D24&lt;&gt;"",VLOOKUP($D24,'Building Type'!$H$4:$I$24,2,0),0)*$AH24</f>
        <v>0</v>
      </c>
      <c r="AK24" s="132">
        <f>IF(ISBLANK($B24)=FALSE,AnnualThermSavingsPerUnit(D24,E24,H24,N24,O24,P24,AS24,AT24,Q24,T24,W24,X24,U24,V24,R24,S24)*$Y24,0)</f>
        <v>0</v>
      </c>
      <c r="AL24" s="132">
        <f>IF(ISBLANK($B24)=FALSE,AnnualThermSavingsPerUnit(D24,E24,H24,N24,O24,P24,AS24,AT24,Q24,T24,W24,X24,U24,V24,R24,S24)*$Z24,0)</f>
        <v>0</v>
      </c>
      <c r="AM24" s="132">
        <f>IF($D24&lt;&gt;"",VLOOKUP($D24,'Building Type'!$H$4:$I$24,2,0),0)*$AK24</f>
        <v>0</v>
      </c>
      <c r="AN24" s="132">
        <f>IF($D24&lt;&gt;"",VLOOKUP($D24,'Building Type'!$H$4:$I$24,2,0),0)*$AL24</f>
        <v>0</v>
      </c>
      <c r="AO24" s="71"/>
      <c r="AP24" s="67"/>
      <c r="AQ24" s="71"/>
      <c r="AR24" s="67"/>
      <c r="AS24" s="95">
        <f>IF(ISBLANK($I24)=FALSE,VLOOKUP($I24,'Building Type'!$A$4:$C$24,2,0),0)</f>
        <v>0</v>
      </c>
      <c r="AT24" s="95">
        <f>IF(ISBLANK($I24)=FALSE,VLOOKUP($I24,'Building Type'!$A$4:$C$24,3,0),0)</f>
        <v>0</v>
      </c>
    </row>
    <row r="25" spans="1:46" s="70" customFormat="1" x14ac:dyDescent="0.2">
      <c r="A25" s="133"/>
      <c r="B25" s="133"/>
      <c r="C25" s="134" t="str">
        <f t="shared" si="1"/>
        <v/>
      </c>
      <c r="D25" s="134" t="str">
        <f t="shared" si="2"/>
        <v/>
      </c>
      <c r="E25" s="134" t="str">
        <f t="shared" si="3"/>
        <v/>
      </c>
      <c r="F25" s="135"/>
      <c r="G25" s="135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  <c r="S25" s="129"/>
      <c r="T25" s="130"/>
      <c r="U25" s="130"/>
      <c r="V25" s="130"/>
      <c r="W25" s="128"/>
      <c r="X25" s="128"/>
      <c r="Y25" s="118"/>
      <c r="Z25" s="118"/>
      <c r="AA25" s="131">
        <f>IF(E25&lt;&gt;"",VLOOKUP(D25&amp;E25,'Incentive Structure'!$H$4:$J$60,2,0),0)</f>
        <v>0</v>
      </c>
      <c r="AB25" s="131">
        <f t="shared" si="4"/>
        <v>0</v>
      </c>
      <c r="AC25" s="131">
        <f t="shared" si="5"/>
        <v>0</v>
      </c>
      <c r="AD25" s="131">
        <f t="shared" si="6"/>
        <v>0</v>
      </c>
      <c r="AE25" s="132">
        <f>IF(ISBLANK($B25)=FALSE, kWSavingsPerUnit(D25,E25,H25,J25,K25,L25,M25,N25,O25,P25,AS25,AT25,Q25,T25,W25,X25,U25,V25,R25,S25)*$Y25, 0)</f>
        <v>0</v>
      </c>
      <c r="AF25" s="132">
        <f>IF(ISBLANK($B25)=FALSE,kWSavingsPerUnit(D25,E25,H25,J25,K25,L25,M25,N25,O25,P25,AS25,AT25,Q25,T25,W25,X25,U25,V25,R25,S25)*$Z25,0)</f>
        <v>0</v>
      </c>
      <c r="AG25" s="132">
        <f>IF(ISBLANK($B25)=FALSE,AnnualkWhSavingsPerUnit(D25,E25,H25,J25,K25,L25,M25,N25,O25,P25,AS25,AT25,Q25,T25,W25,X25,U25,V25,R25,S25)*$Y25,0)</f>
        <v>0</v>
      </c>
      <c r="AH25" s="132">
        <f>IF(ISBLANK($B25)=FALSE,AnnualkWhSavingsPerUnit(D25,E25,H25,J25,K25,L25,M25,N25,O25,P25,AS25,AT25,Q25,T25,W25,X25,U25,V25,R25,S25)*$Z25,0)</f>
        <v>0</v>
      </c>
      <c r="AI25" s="132">
        <f>IF($D25&lt;&gt;"",VLOOKUP($D25,'Building Type'!$H$4:$I$24,2,0),0)*$AG25</f>
        <v>0</v>
      </c>
      <c r="AJ25" s="132">
        <f>IF($D25&lt;&gt;"",VLOOKUP($D25,'Building Type'!$H$4:$I$24,2,0),0)*$AH25</f>
        <v>0</v>
      </c>
      <c r="AK25" s="132">
        <f>IF(ISBLANK($B25)=FALSE,AnnualThermSavingsPerUnit(D25,E25,H25,N25,O25,P25,AS25,AT25,Q25,T25,W25,X25,U25,V25,R25,S25)*$Y25,0)</f>
        <v>0</v>
      </c>
      <c r="AL25" s="132">
        <f>IF(ISBLANK($B25)=FALSE,AnnualThermSavingsPerUnit(D25,E25,H25,N25,O25,P25,AS25,AT25,Q25,T25,W25,X25,U25,V25,R25,S25)*$Z25,0)</f>
        <v>0</v>
      </c>
      <c r="AM25" s="132">
        <f>IF($D25&lt;&gt;"",VLOOKUP($D25,'Building Type'!$H$4:$I$24,2,0),0)*$AK25</f>
        <v>0</v>
      </c>
      <c r="AN25" s="132">
        <f>IF($D25&lt;&gt;"",VLOOKUP($D25,'Building Type'!$H$4:$I$24,2,0),0)*$AL25</f>
        <v>0</v>
      </c>
      <c r="AO25" s="71"/>
      <c r="AP25" s="67"/>
      <c r="AQ25" s="71"/>
      <c r="AR25" s="67"/>
      <c r="AS25" s="95">
        <f>IF(ISBLANK($I25)=FALSE,VLOOKUP($I25,'Building Type'!$A$4:$C$24,2,0),0)</f>
        <v>0</v>
      </c>
      <c r="AT25" s="95">
        <f>IF(ISBLANK($I25)=FALSE,VLOOKUP($I25,'Building Type'!$A$4:$C$24,3,0),0)</f>
        <v>0</v>
      </c>
    </row>
    <row r="26" spans="1:46" s="70" customFormat="1" x14ac:dyDescent="0.2">
      <c r="A26" s="133"/>
      <c r="B26" s="133"/>
      <c r="C26" s="134" t="str">
        <f t="shared" si="1"/>
        <v/>
      </c>
      <c r="D26" s="134" t="str">
        <f t="shared" si="2"/>
        <v/>
      </c>
      <c r="E26" s="134" t="str">
        <f t="shared" si="3"/>
        <v/>
      </c>
      <c r="F26" s="135"/>
      <c r="G26" s="135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9"/>
      <c r="T26" s="130"/>
      <c r="U26" s="130"/>
      <c r="V26" s="130"/>
      <c r="W26" s="128"/>
      <c r="X26" s="128"/>
      <c r="Y26" s="118"/>
      <c r="Z26" s="118"/>
      <c r="AA26" s="131">
        <f>IF(E26&lt;&gt;"",VLOOKUP(D26&amp;E26,'Incentive Structure'!$H$4:$J$60,2,0),0)</f>
        <v>0</v>
      </c>
      <c r="AB26" s="131">
        <f t="shared" si="4"/>
        <v>0</v>
      </c>
      <c r="AC26" s="131">
        <f t="shared" si="5"/>
        <v>0</v>
      </c>
      <c r="AD26" s="131">
        <f t="shared" si="6"/>
        <v>0</v>
      </c>
      <c r="AE26" s="132">
        <f>IF(ISBLANK($B26)=FALSE, kWSavingsPerUnit(D26,E26,H26,J26,K26,L26,M26,N26,O26,P26,AS26,AT26,Q26,T26,W26,X26,U26,V26,R26,S26)*$Y26, 0)</f>
        <v>0</v>
      </c>
      <c r="AF26" s="132">
        <f>IF(ISBLANK($B26)=FALSE,kWSavingsPerUnit(D26,E26,H26,J26,K26,L26,M26,N26,O26,P26,AS26,AT26,Q26,T26,W26,X26,U26,V26,R26,S26)*$Z26,0)</f>
        <v>0</v>
      </c>
      <c r="AG26" s="132">
        <f>IF(ISBLANK($B26)=FALSE,AnnualkWhSavingsPerUnit(D26,E26,H26,J26,K26,L26,M26,N26,O26,P26,AS26,AT26,Q26,T26,W26,X26,U26,V26,R26,S26)*$Y26,0)</f>
        <v>0</v>
      </c>
      <c r="AH26" s="132">
        <f>IF(ISBLANK($B26)=FALSE,AnnualkWhSavingsPerUnit(D26,E26,H26,J26,K26,L26,M26,N26,O26,P26,AS26,AT26,Q26,T26,W26,X26,U26,V26,R26,S26)*$Z26,0)</f>
        <v>0</v>
      </c>
      <c r="AI26" s="132">
        <f>IF($D26&lt;&gt;"",VLOOKUP($D26,'Building Type'!$H$4:$I$24,2,0),0)*$AG26</f>
        <v>0</v>
      </c>
      <c r="AJ26" s="132">
        <f>IF($D26&lt;&gt;"",VLOOKUP($D26,'Building Type'!$H$4:$I$24,2,0),0)*$AH26</f>
        <v>0</v>
      </c>
      <c r="AK26" s="132">
        <f>IF(ISBLANK($B26)=FALSE,AnnualThermSavingsPerUnit(D26,E26,H26,N26,O26,P26,AS26,AT26,Q26,T26,W26,X26,U26,V26,R26,S26)*$Y26,0)</f>
        <v>0</v>
      </c>
      <c r="AL26" s="132">
        <f>IF(ISBLANK($B26)=FALSE,AnnualThermSavingsPerUnit(D26,E26,H26,N26,O26,P26,AS26,AT26,Q26,T26,W26,X26,U26,V26,R26,S26)*$Z26,0)</f>
        <v>0</v>
      </c>
      <c r="AM26" s="132">
        <f>IF($D26&lt;&gt;"",VLOOKUP($D26,'Building Type'!$H$4:$I$24,2,0),0)*$AK26</f>
        <v>0</v>
      </c>
      <c r="AN26" s="132">
        <f>IF($D26&lt;&gt;"",VLOOKUP($D26,'Building Type'!$H$4:$I$24,2,0),0)*$AL26</f>
        <v>0</v>
      </c>
      <c r="AO26" s="71"/>
      <c r="AP26" s="67"/>
      <c r="AQ26" s="71"/>
      <c r="AR26" s="67"/>
      <c r="AS26" s="95">
        <f>IF(ISBLANK($I26)=FALSE,VLOOKUP($I26,'Building Type'!$A$4:$C$24,2,0),0)</f>
        <v>0</v>
      </c>
      <c r="AT26" s="95">
        <f>IF(ISBLANK($I26)=FALSE,VLOOKUP($I26,'Building Type'!$A$4:$C$24,3,0),0)</f>
        <v>0</v>
      </c>
    </row>
    <row r="27" spans="1:46" s="70" customFormat="1" x14ac:dyDescent="0.2">
      <c r="A27" s="133"/>
      <c r="B27" s="133"/>
      <c r="C27" s="134" t="str">
        <f t="shared" si="1"/>
        <v/>
      </c>
      <c r="D27" s="134" t="str">
        <f t="shared" si="2"/>
        <v/>
      </c>
      <c r="E27" s="134" t="str">
        <f t="shared" si="3"/>
        <v/>
      </c>
      <c r="F27" s="135"/>
      <c r="G27" s="135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29"/>
      <c r="T27" s="130"/>
      <c r="U27" s="130"/>
      <c r="V27" s="130"/>
      <c r="W27" s="128"/>
      <c r="X27" s="128"/>
      <c r="Y27" s="118"/>
      <c r="Z27" s="118"/>
      <c r="AA27" s="131">
        <f>IF(E27&lt;&gt;"",VLOOKUP(D27&amp;E27,'Incentive Structure'!$H$4:$J$60,2,0),0)</f>
        <v>0</v>
      </c>
      <c r="AB27" s="131">
        <f t="shared" si="4"/>
        <v>0</v>
      </c>
      <c r="AC27" s="131">
        <f t="shared" si="5"/>
        <v>0</v>
      </c>
      <c r="AD27" s="131">
        <f t="shared" si="6"/>
        <v>0</v>
      </c>
      <c r="AE27" s="132">
        <f>IF(ISBLANK($B27)=FALSE, kWSavingsPerUnit(D27,E27,H27,J27,K27,L27,M27,N27,O27,P27,AS27,AT27,Q27,T27,W27,X27,U27,V27,R27,S27)*$Y27, 0)</f>
        <v>0</v>
      </c>
      <c r="AF27" s="132">
        <f>IF(ISBLANK($B27)=FALSE,kWSavingsPerUnit(D27,E27,H27,J27,K27,L27,M27,N27,O27,P27,AS27,AT27,Q27,T27,W27,X27,U27,V27,R27,S27)*$Z27,0)</f>
        <v>0</v>
      </c>
      <c r="AG27" s="132">
        <f>IF(ISBLANK($B27)=FALSE,AnnualkWhSavingsPerUnit(D27,E27,H27,J27,K27,L27,M27,N27,O27,P27,AS27,AT27,Q27,T27,W27,X27,U27,V27,R27,S27)*$Y27,0)</f>
        <v>0</v>
      </c>
      <c r="AH27" s="132">
        <f>IF(ISBLANK($B27)=FALSE,AnnualkWhSavingsPerUnit(D27,E27,H27,J27,K27,L27,M27,N27,O27,P27,AS27,AT27,Q27,T27,W27,X27,U27,V27,R27,S27)*$Z27,0)</f>
        <v>0</v>
      </c>
      <c r="AI27" s="132">
        <f>IF($D27&lt;&gt;"",VLOOKUP($D27,'Building Type'!$H$4:$I$24,2,0),0)*$AG27</f>
        <v>0</v>
      </c>
      <c r="AJ27" s="132">
        <f>IF($D27&lt;&gt;"",VLOOKUP($D27,'Building Type'!$H$4:$I$24,2,0),0)*$AH27</f>
        <v>0</v>
      </c>
      <c r="AK27" s="132">
        <f>IF(ISBLANK($B27)=FALSE,AnnualThermSavingsPerUnit(D27,E27,H27,N27,O27,P27,AS27,AT27,Q27,T27,W27,X27,U27,V27,R27,S27)*$Y27,0)</f>
        <v>0</v>
      </c>
      <c r="AL27" s="132">
        <f>IF(ISBLANK($B27)=FALSE,AnnualThermSavingsPerUnit(D27,E27,H27,N27,O27,P27,AS27,AT27,Q27,T27,W27,X27,U27,V27,R27,S27)*$Z27,0)</f>
        <v>0</v>
      </c>
      <c r="AM27" s="132">
        <f>IF($D27&lt;&gt;"",VLOOKUP($D27,'Building Type'!$H$4:$I$24,2,0),0)*$AK27</f>
        <v>0</v>
      </c>
      <c r="AN27" s="132">
        <f>IF($D27&lt;&gt;"",VLOOKUP($D27,'Building Type'!$H$4:$I$24,2,0),0)*$AL27</f>
        <v>0</v>
      </c>
      <c r="AO27" s="71"/>
      <c r="AP27" s="67"/>
      <c r="AQ27" s="71"/>
      <c r="AR27" s="67"/>
      <c r="AS27" s="95">
        <f>IF(ISBLANK($I27)=FALSE,VLOOKUP($I27,'Building Type'!$A$4:$C$24,2,0),0)</f>
        <v>0</v>
      </c>
      <c r="AT27" s="95">
        <f>IF(ISBLANK($I27)=FALSE,VLOOKUP($I27,'Building Type'!$A$4:$C$24,3,0),0)</f>
        <v>0</v>
      </c>
    </row>
    <row r="28" spans="1:46" s="70" customFormat="1" x14ac:dyDescent="0.2">
      <c r="A28" s="133"/>
      <c r="B28" s="133"/>
      <c r="C28" s="134" t="str">
        <f t="shared" si="1"/>
        <v/>
      </c>
      <c r="D28" s="134" t="str">
        <f t="shared" si="2"/>
        <v/>
      </c>
      <c r="E28" s="134" t="str">
        <f t="shared" si="3"/>
        <v/>
      </c>
      <c r="F28" s="135"/>
      <c r="G28" s="135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29"/>
      <c r="T28" s="130"/>
      <c r="U28" s="130"/>
      <c r="V28" s="130"/>
      <c r="W28" s="128"/>
      <c r="X28" s="128"/>
      <c r="Y28" s="118"/>
      <c r="Z28" s="118"/>
      <c r="AA28" s="131">
        <f>IF(E28&lt;&gt;"",VLOOKUP(D28&amp;E28,'Incentive Structure'!$H$4:$J$60,2,0),0)</f>
        <v>0</v>
      </c>
      <c r="AB28" s="131">
        <f t="shared" si="4"/>
        <v>0</v>
      </c>
      <c r="AC28" s="131">
        <f t="shared" si="5"/>
        <v>0</v>
      </c>
      <c r="AD28" s="131">
        <f t="shared" si="6"/>
        <v>0</v>
      </c>
      <c r="AE28" s="132">
        <f>IF(ISBLANK($B28)=FALSE, kWSavingsPerUnit(D28,E28,H28,J28,K28,L28,M28,N28,O28,P28,AS28,AT28,Q28,T28,W28,X28,U28,V28,R28,S28)*$Y28, 0)</f>
        <v>0</v>
      </c>
      <c r="AF28" s="132">
        <f>IF(ISBLANK($B28)=FALSE,kWSavingsPerUnit(D28,E28,H28,J28,K28,L28,M28,N28,O28,P28,AS28,AT28,Q28,T28,W28,X28,U28,V28,R28,S28)*$Z28,0)</f>
        <v>0</v>
      </c>
      <c r="AG28" s="132">
        <f>IF(ISBLANK($B28)=FALSE,AnnualkWhSavingsPerUnit(D28,E28,H28,J28,K28,L28,M28,N28,O28,P28,AS28,AT28,Q28,T28,W28,X28,U28,V28,R28,S28)*$Y28,0)</f>
        <v>0</v>
      </c>
      <c r="AH28" s="132">
        <f>IF(ISBLANK($B28)=FALSE,AnnualkWhSavingsPerUnit(D28,E28,H28,J28,K28,L28,M28,N28,O28,P28,AS28,AT28,Q28,T28,W28,X28,U28,V28,R28,S28)*$Z28,0)</f>
        <v>0</v>
      </c>
      <c r="AI28" s="132">
        <f>IF($D28&lt;&gt;"",VLOOKUP($D28,'Building Type'!$H$4:$I$24,2,0),0)*$AG28</f>
        <v>0</v>
      </c>
      <c r="AJ28" s="132">
        <f>IF($D28&lt;&gt;"",VLOOKUP($D28,'Building Type'!$H$4:$I$24,2,0),0)*$AH28</f>
        <v>0</v>
      </c>
      <c r="AK28" s="132">
        <f>IF(ISBLANK($B28)=FALSE,AnnualThermSavingsPerUnit(D28,E28,H28,N28,O28,P28,AS28,AT28,Q28,T28,W28,X28,U28,V28,R28,S28)*$Y28,0)</f>
        <v>0</v>
      </c>
      <c r="AL28" s="132">
        <f>IF(ISBLANK($B28)=FALSE,AnnualThermSavingsPerUnit(D28,E28,H28,N28,O28,P28,AS28,AT28,Q28,T28,W28,X28,U28,V28,R28,S28)*$Z28,0)</f>
        <v>0</v>
      </c>
      <c r="AM28" s="132">
        <f>IF($D28&lt;&gt;"",VLOOKUP($D28,'Building Type'!$H$4:$I$24,2,0),0)*$AK28</f>
        <v>0</v>
      </c>
      <c r="AN28" s="132">
        <f>IF($D28&lt;&gt;"",VLOOKUP($D28,'Building Type'!$H$4:$I$24,2,0),0)*$AL28</f>
        <v>0</v>
      </c>
      <c r="AO28" s="71"/>
      <c r="AP28" s="67"/>
      <c r="AQ28" s="71"/>
      <c r="AR28" s="67"/>
      <c r="AS28" s="95">
        <f>IF(ISBLANK($I28)=FALSE,VLOOKUP($I28,'Building Type'!$A$4:$C$24,2,0),0)</f>
        <v>0</v>
      </c>
      <c r="AT28" s="95">
        <f>IF(ISBLANK($I28)=FALSE,VLOOKUP($I28,'Building Type'!$A$4:$C$24,3,0),0)</f>
        <v>0</v>
      </c>
    </row>
    <row r="29" spans="1:46" s="70" customFormat="1" x14ac:dyDescent="0.2">
      <c r="A29" s="133"/>
      <c r="B29" s="133"/>
      <c r="C29" s="134" t="str">
        <f t="shared" si="1"/>
        <v/>
      </c>
      <c r="D29" s="134" t="str">
        <f t="shared" si="2"/>
        <v/>
      </c>
      <c r="E29" s="134" t="str">
        <f t="shared" si="3"/>
        <v/>
      </c>
      <c r="F29" s="135"/>
      <c r="G29" s="135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29"/>
      <c r="T29" s="130"/>
      <c r="U29" s="130"/>
      <c r="V29" s="130"/>
      <c r="W29" s="128"/>
      <c r="X29" s="128"/>
      <c r="Y29" s="118"/>
      <c r="Z29" s="118"/>
      <c r="AA29" s="131">
        <f>IF(E29&lt;&gt;"",VLOOKUP(D29&amp;E29,'Incentive Structure'!$H$4:$J$60,2,0),0)</f>
        <v>0</v>
      </c>
      <c r="AB29" s="131">
        <f t="shared" si="4"/>
        <v>0</v>
      </c>
      <c r="AC29" s="131">
        <f t="shared" si="5"/>
        <v>0</v>
      </c>
      <c r="AD29" s="131">
        <f t="shared" si="6"/>
        <v>0</v>
      </c>
      <c r="AE29" s="132">
        <f>IF(ISBLANK($B29)=FALSE, kWSavingsPerUnit(D29,E29,H29,J29,K29,L29,M29,N29,O29,P29,AS29,AT29,Q29,T29,W29,X29,U29,V29,R29,S29)*$Y29, 0)</f>
        <v>0</v>
      </c>
      <c r="AF29" s="132">
        <f>IF(ISBLANK($B29)=FALSE,kWSavingsPerUnit(D29,E29,H29,J29,K29,L29,M29,N29,O29,P29,AS29,AT29,Q29,T29,W29,X29,U29,V29,R29,S29)*$Z29,0)</f>
        <v>0</v>
      </c>
      <c r="AG29" s="132">
        <f>IF(ISBLANK($B29)=FALSE,AnnualkWhSavingsPerUnit(D29,E29,H29,J29,K29,L29,M29,N29,O29,P29,AS29,AT29,Q29,T29,W29,X29,U29,V29,R29,S29)*$Y29,0)</f>
        <v>0</v>
      </c>
      <c r="AH29" s="132">
        <f>IF(ISBLANK($B29)=FALSE,AnnualkWhSavingsPerUnit(D29,E29,H29,J29,K29,L29,M29,N29,O29,P29,AS29,AT29,Q29,T29,W29,X29,U29,V29,R29,S29)*$Z29,0)</f>
        <v>0</v>
      </c>
      <c r="AI29" s="132">
        <f>IF($D29&lt;&gt;"",VLOOKUP($D29,'Building Type'!$H$4:$I$24,2,0),0)*$AG29</f>
        <v>0</v>
      </c>
      <c r="AJ29" s="132">
        <f>IF($D29&lt;&gt;"",VLOOKUP($D29,'Building Type'!$H$4:$I$24,2,0),0)*$AH29</f>
        <v>0</v>
      </c>
      <c r="AK29" s="132">
        <f>IF(ISBLANK($B29)=FALSE,AnnualThermSavingsPerUnit(D29,E29,H29,N29,O29,P29,AS29,AT29,Q29,T29,W29,X29,U29,V29,R29,S29)*$Y29,0)</f>
        <v>0</v>
      </c>
      <c r="AL29" s="132">
        <f>IF(ISBLANK($B29)=FALSE,AnnualThermSavingsPerUnit(D29,E29,H29,N29,O29,P29,AS29,AT29,Q29,T29,W29,X29,U29,V29,R29,S29)*$Z29,0)</f>
        <v>0</v>
      </c>
      <c r="AM29" s="132">
        <f>IF($D29&lt;&gt;"",VLOOKUP($D29,'Building Type'!$H$4:$I$24,2,0),0)*$AK29</f>
        <v>0</v>
      </c>
      <c r="AN29" s="132">
        <f>IF($D29&lt;&gt;"",VLOOKUP($D29,'Building Type'!$H$4:$I$24,2,0),0)*$AL29</f>
        <v>0</v>
      </c>
      <c r="AO29" s="71"/>
      <c r="AP29" s="67"/>
      <c r="AQ29" s="71"/>
      <c r="AR29" s="67"/>
      <c r="AS29" s="95">
        <f>IF(ISBLANK($I29)=FALSE,VLOOKUP($I29,'Building Type'!$A$4:$C$24,2,0),0)</f>
        <v>0</v>
      </c>
      <c r="AT29" s="95">
        <f>IF(ISBLANK($I29)=FALSE,VLOOKUP($I29,'Building Type'!$A$4:$C$24,3,0),0)</f>
        <v>0</v>
      </c>
    </row>
    <row r="30" spans="1:46" s="70" customFormat="1" x14ac:dyDescent="0.2">
      <c r="A30" s="133"/>
      <c r="B30" s="133"/>
      <c r="C30" s="134" t="str">
        <f t="shared" si="1"/>
        <v/>
      </c>
      <c r="D30" s="134" t="str">
        <f t="shared" si="2"/>
        <v/>
      </c>
      <c r="E30" s="134" t="str">
        <f t="shared" si="3"/>
        <v/>
      </c>
      <c r="F30" s="135"/>
      <c r="G30" s="135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29"/>
      <c r="T30" s="130"/>
      <c r="U30" s="130"/>
      <c r="V30" s="130"/>
      <c r="W30" s="128"/>
      <c r="X30" s="128"/>
      <c r="Y30" s="118"/>
      <c r="Z30" s="118"/>
      <c r="AA30" s="131">
        <f>IF(E30&lt;&gt;"",VLOOKUP(D30&amp;E30,'Incentive Structure'!$H$4:$J$60,2,0),0)</f>
        <v>0</v>
      </c>
      <c r="AB30" s="131">
        <f t="shared" si="4"/>
        <v>0</v>
      </c>
      <c r="AC30" s="131">
        <f t="shared" si="5"/>
        <v>0</v>
      </c>
      <c r="AD30" s="131">
        <f t="shared" si="6"/>
        <v>0</v>
      </c>
      <c r="AE30" s="132">
        <f>IF(ISBLANK($B30)=FALSE, kWSavingsPerUnit(D30,E30,H30,J30,K30,L30,M30,N30,O30,P30,AS30,AT30,Q30,T30,W30,X30,U30,V30,R30,S30)*$Y30, 0)</f>
        <v>0</v>
      </c>
      <c r="AF30" s="132">
        <f>IF(ISBLANK($B30)=FALSE,kWSavingsPerUnit(D30,E30,H30,J30,K30,L30,M30,N30,O30,P30,AS30,AT30,Q30,T30,W30,X30,U30,V30,R30,S30)*$Z30,0)</f>
        <v>0</v>
      </c>
      <c r="AG30" s="132">
        <f>IF(ISBLANK($B30)=FALSE,AnnualkWhSavingsPerUnit(D30,E30,H30,J30,K30,L30,M30,N30,O30,P30,AS30,AT30,Q30,T30,W30,X30,U30,V30,R30,S30)*$Y30,0)</f>
        <v>0</v>
      </c>
      <c r="AH30" s="132">
        <f>IF(ISBLANK($B30)=FALSE,AnnualkWhSavingsPerUnit(D30,E30,H30,J30,K30,L30,M30,N30,O30,P30,AS30,AT30,Q30,T30,W30,X30,U30,V30,R30,S30)*$Z30,0)</f>
        <v>0</v>
      </c>
      <c r="AI30" s="132">
        <f>IF($D30&lt;&gt;"",VLOOKUP($D30,'Building Type'!$H$4:$I$24,2,0),0)*$AG30</f>
        <v>0</v>
      </c>
      <c r="AJ30" s="132">
        <f>IF($D30&lt;&gt;"",VLOOKUP($D30,'Building Type'!$H$4:$I$24,2,0),0)*$AH30</f>
        <v>0</v>
      </c>
      <c r="AK30" s="132">
        <f>IF(ISBLANK($B30)=FALSE,AnnualThermSavingsPerUnit(D30,E30,H30,N30,O30,P30,AS30,AT30,Q30,T30,W30,X30,U30,V30,R30,S30)*$Y30,0)</f>
        <v>0</v>
      </c>
      <c r="AL30" s="132">
        <f>IF(ISBLANK($B30)=FALSE,AnnualThermSavingsPerUnit(D30,E30,H30,N30,O30,P30,AS30,AT30,Q30,T30,W30,X30,U30,V30,R30,S30)*$Z30,0)</f>
        <v>0</v>
      </c>
      <c r="AM30" s="132">
        <f>IF($D30&lt;&gt;"",VLOOKUP($D30,'Building Type'!$H$4:$I$24,2,0),0)*$AK30</f>
        <v>0</v>
      </c>
      <c r="AN30" s="132">
        <f>IF($D30&lt;&gt;"",VLOOKUP($D30,'Building Type'!$H$4:$I$24,2,0),0)*$AL30</f>
        <v>0</v>
      </c>
      <c r="AO30" s="71"/>
      <c r="AP30" s="67"/>
      <c r="AQ30" s="71"/>
      <c r="AR30" s="67"/>
      <c r="AS30" s="95">
        <f>IF(ISBLANK($I30)=FALSE,VLOOKUP($I30,'Building Type'!$A$4:$C$24,2,0),0)</f>
        <v>0</v>
      </c>
      <c r="AT30" s="95">
        <f>IF(ISBLANK($I30)=FALSE,VLOOKUP($I30,'Building Type'!$A$4:$C$24,3,0),0)</f>
        <v>0</v>
      </c>
    </row>
    <row r="31" spans="1:46" s="70" customFormat="1" x14ac:dyDescent="0.2">
      <c r="A31" s="133"/>
      <c r="B31" s="133"/>
      <c r="C31" s="134" t="str">
        <f t="shared" si="1"/>
        <v/>
      </c>
      <c r="D31" s="134" t="str">
        <f t="shared" si="2"/>
        <v/>
      </c>
      <c r="E31" s="134" t="str">
        <f t="shared" si="3"/>
        <v/>
      </c>
      <c r="F31" s="135"/>
      <c r="G31" s="135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129"/>
      <c r="T31" s="130"/>
      <c r="U31" s="130"/>
      <c r="V31" s="130"/>
      <c r="W31" s="128"/>
      <c r="X31" s="128"/>
      <c r="Y31" s="118"/>
      <c r="Z31" s="118"/>
      <c r="AA31" s="131">
        <f>IF(E31&lt;&gt;"",VLOOKUP(D31&amp;E31,'Incentive Structure'!$H$4:$J$60,2,0),0)</f>
        <v>0</v>
      </c>
      <c r="AB31" s="131">
        <f t="shared" si="4"/>
        <v>0</v>
      </c>
      <c r="AC31" s="131">
        <f t="shared" si="5"/>
        <v>0</v>
      </c>
      <c r="AD31" s="131">
        <f t="shared" si="6"/>
        <v>0</v>
      </c>
      <c r="AE31" s="132">
        <f>IF(ISBLANK($B31)=FALSE, kWSavingsPerUnit(D31,E31,H31,J31,K31,L31,M31,N31,O31,P31,AS31,AT31,Q31,T31,W31,X31,U31,V31,R31,S31)*$Y31, 0)</f>
        <v>0</v>
      </c>
      <c r="AF31" s="132">
        <f>IF(ISBLANK($B31)=FALSE,kWSavingsPerUnit(D31,E31,H31,J31,K31,L31,M31,N31,O31,P31,AS31,AT31,Q31,T31,W31,X31,U31,V31,R31,S31)*$Z31,0)</f>
        <v>0</v>
      </c>
      <c r="AG31" s="132">
        <f>IF(ISBLANK($B31)=FALSE,AnnualkWhSavingsPerUnit(D31,E31,H31,J31,K31,L31,M31,N31,O31,P31,AS31,AT31,Q31,T31,W31,X31,U31,V31,R31,S31)*$Y31,0)</f>
        <v>0</v>
      </c>
      <c r="AH31" s="132">
        <f>IF(ISBLANK($B31)=FALSE,AnnualkWhSavingsPerUnit(D31,E31,H31,J31,K31,L31,M31,N31,O31,P31,AS31,AT31,Q31,T31,W31,X31,U31,V31,R31,S31)*$Z31,0)</f>
        <v>0</v>
      </c>
      <c r="AI31" s="132">
        <f>IF($D31&lt;&gt;"",VLOOKUP($D31,'Building Type'!$H$4:$I$24,2,0),0)*$AG31</f>
        <v>0</v>
      </c>
      <c r="AJ31" s="132">
        <f>IF($D31&lt;&gt;"",VLOOKUP($D31,'Building Type'!$H$4:$I$24,2,0),0)*$AH31</f>
        <v>0</v>
      </c>
      <c r="AK31" s="132">
        <f>IF(ISBLANK($B31)=FALSE,AnnualThermSavingsPerUnit(D31,E31,H31,N31,O31,P31,AS31,AT31,Q31,T31,W31,X31,U31,V31,R31,S31)*$Y31,0)</f>
        <v>0</v>
      </c>
      <c r="AL31" s="132">
        <f>IF(ISBLANK($B31)=FALSE,AnnualThermSavingsPerUnit(D31,E31,H31,N31,O31,P31,AS31,AT31,Q31,T31,W31,X31,U31,V31,R31,S31)*$Z31,0)</f>
        <v>0</v>
      </c>
      <c r="AM31" s="132">
        <f>IF($D31&lt;&gt;"",VLOOKUP($D31,'Building Type'!$H$4:$I$24,2,0),0)*$AK31</f>
        <v>0</v>
      </c>
      <c r="AN31" s="132">
        <f>IF($D31&lt;&gt;"",VLOOKUP($D31,'Building Type'!$H$4:$I$24,2,0),0)*$AL31</f>
        <v>0</v>
      </c>
      <c r="AO31" s="71"/>
      <c r="AP31" s="67"/>
      <c r="AQ31" s="71"/>
      <c r="AR31" s="67"/>
      <c r="AS31" s="95">
        <f>IF(ISBLANK($I31)=FALSE,VLOOKUP($I31,'Building Type'!$A$4:$C$24,2,0),0)</f>
        <v>0</v>
      </c>
      <c r="AT31" s="95">
        <f>IF(ISBLANK($I31)=FALSE,VLOOKUP($I31,'Building Type'!$A$4:$C$24,3,0),0)</f>
        <v>0</v>
      </c>
    </row>
    <row r="32" spans="1:46" s="70" customFormat="1" x14ac:dyDescent="0.2">
      <c r="A32" s="133"/>
      <c r="B32" s="133"/>
      <c r="C32" s="134" t="str">
        <f t="shared" si="1"/>
        <v/>
      </c>
      <c r="D32" s="134" t="str">
        <f t="shared" si="2"/>
        <v/>
      </c>
      <c r="E32" s="134" t="str">
        <f t="shared" si="3"/>
        <v/>
      </c>
      <c r="F32" s="135"/>
      <c r="G32" s="135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29"/>
      <c r="T32" s="130"/>
      <c r="U32" s="130"/>
      <c r="V32" s="130"/>
      <c r="W32" s="128"/>
      <c r="X32" s="128"/>
      <c r="Y32" s="118"/>
      <c r="Z32" s="118"/>
      <c r="AA32" s="131">
        <f>IF(E32&lt;&gt;"",VLOOKUP(D32&amp;E32,'Incentive Structure'!$H$4:$J$60,2,0),0)</f>
        <v>0</v>
      </c>
      <c r="AB32" s="131">
        <f t="shared" si="4"/>
        <v>0</v>
      </c>
      <c r="AC32" s="131">
        <f t="shared" si="5"/>
        <v>0</v>
      </c>
      <c r="AD32" s="131">
        <f t="shared" si="6"/>
        <v>0</v>
      </c>
      <c r="AE32" s="132">
        <f>IF(ISBLANK($B32)=FALSE, kWSavingsPerUnit(D32,E32,H32,J32,K32,L32,M32,N32,O32,P32,AS32,AT32,Q32,T32,W32,X32,U32,V32,R32,S32)*$Y32, 0)</f>
        <v>0</v>
      </c>
      <c r="AF32" s="132">
        <f>IF(ISBLANK($B32)=FALSE,kWSavingsPerUnit(D32,E32,H32,J32,K32,L32,M32,N32,O32,P32,AS32,AT32,Q32,T32,W32,X32,U32,V32,R32,S32)*$Z32,0)</f>
        <v>0</v>
      </c>
      <c r="AG32" s="132">
        <f>IF(ISBLANK($B32)=FALSE,AnnualkWhSavingsPerUnit(D32,E32,H32,J32,K32,L32,M32,N32,O32,P32,AS32,AT32,Q32,T32,W32,X32,U32,V32,R32,S32)*$Y32,0)</f>
        <v>0</v>
      </c>
      <c r="AH32" s="132">
        <f>IF(ISBLANK($B32)=FALSE,AnnualkWhSavingsPerUnit(D32,E32,H32,J32,K32,L32,M32,N32,O32,P32,AS32,AT32,Q32,T32,W32,X32,U32,V32,R32,S32)*$Z32,0)</f>
        <v>0</v>
      </c>
      <c r="AI32" s="132">
        <f>IF($D32&lt;&gt;"",VLOOKUP($D32,'Building Type'!$H$4:$I$24,2,0),0)*$AG32</f>
        <v>0</v>
      </c>
      <c r="AJ32" s="132">
        <f>IF($D32&lt;&gt;"",VLOOKUP($D32,'Building Type'!$H$4:$I$24,2,0),0)*$AH32</f>
        <v>0</v>
      </c>
      <c r="AK32" s="132">
        <f>IF(ISBLANK($B32)=FALSE,AnnualThermSavingsPerUnit(D32,E32,H32,N32,O32,P32,AS32,AT32,Q32,T32,W32,X32,U32,V32,R32,S32)*$Y32,0)</f>
        <v>0</v>
      </c>
      <c r="AL32" s="132">
        <f>IF(ISBLANK($B32)=FALSE,AnnualThermSavingsPerUnit(D32,E32,H32,N32,O32,P32,AS32,AT32,Q32,T32,W32,X32,U32,V32,R32,S32)*$Z32,0)</f>
        <v>0</v>
      </c>
      <c r="AM32" s="132">
        <f>IF($D32&lt;&gt;"",VLOOKUP($D32,'Building Type'!$H$4:$I$24,2,0),0)*$AK32</f>
        <v>0</v>
      </c>
      <c r="AN32" s="132">
        <f>IF($D32&lt;&gt;"",VLOOKUP($D32,'Building Type'!$H$4:$I$24,2,0),0)*$AL32</f>
        <v>0</v>
      </c>
      <c r="AO32" s="71"/>
      <c r="AP32" s="67"/>
      <c r="AQ32" s="71"/>
      <c r="AR32" s="67"/>
      <c r="AS32" s="95">
        <f>IF(ISBLANK($I32)=FALSE,VLOOKUP($I32,'Building Type'!$A$4:$C$24,2,0),0)</f>
        <v>0</v>
      </c>
      <c r="AT32" s="95">
        <f>IF(ISBLANK($I32)=FALSE,VLOOKUP($I32,'Building Type'!$A$4:$C$24,3,0),0)</f>
        <v>0</v>
      </c>
    </row>
    <row r="33" spans="1:46" s="70" customFormat="1" x14ac:dyDescent="0.2">
      <c r="A33" s="133"/>
      <c r="B33" s="133"/>
      <c r="C33" s="134" t="str">
        <f t="shared" si="1"/>
        <v/>
      </c>
      <c r="D33" s="134" t="str">
        <f t="shared" si="2"/>
        <v/>
      </c>
      <c r="E33" s="134" t="str">
        <f t="shared" si="3"/>
        <v/>
      </c>
      <c r="F33" s="135"/>
      <c r="G33" s="135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29"/>
      <c r="T33" s="130"/>
      <c r="U33" s="130"/>
      <c r="V33" s="130"/>
      <c r="W33" s="128"/>
      <c r="X33" s="128"/>
      <c r="Y33" s="118"/>
      <c r="Z33" s="118"/>
      <c r="AA33" s="131">
        <f>IF(E33&lt;&gt;"",VLOOKUP(D33&amp;E33,'Incentive Structure'!$H$4:$J$60,2,0),0)</f>
        <v>0</v>
      </c>
      <c r="AB33" s="131">
        <f t="shared" si="4"/>
        <v>0</v>
      </c>
      <c r="AC33" s="131">
        <f t="shared" si="5"/>
        <v>0</v>
      </c>
      <c r="AD33" s="131">
        <f t="shared" si="6"/>
        <v>0</v>
      </c>
      <c r="AE33" s="132">
        <f>IF(ISBLANK($B33)=FALSE, kWSavingsPerUnit(D33,E33,H33,J33,K33,L33,M33,N33,O33,P33,AS33,AT33,Q33,T33,W33,X33,U33,V33,R33,S33)*$Y33, 0)</f>
        <v>0</v>
      </c>
      <c r="AF33" s="132">
        <f>IF(ISBLANK($B33)=FALSE,kWSavingsPerUnit(D33,E33,H33,J33,K33,L33,M33,N33,O33,P33,AS33,AT33,Q33,T33,W33,X33,U33,V33,R33,S33)*$Z33,0)</f>
        <v>0</v>
      </c>
      <c r="AG33" s="132">
        <f>IF(ISBLANK($B33)=FALSE,AnnualkWhSavingsPerUnit(D33,E33,H33,J33,K33,L33,M33,N33,O33,P33,AS33,AT33,Q33,T33,W33,X33,U33,V33,R33,S33)*$Y33,0)</f>
        <v>0</v>
      </c>
      <c r="AH33" s="132">
        <f>IF(ISBLANK($B33)=FALSE,AnnualkWhSavingsPerUnit(D33,E33,H33,J33,K33,L33,M33,N33,O33,P33,AS33,AT33,Q33,T33,W33,X33,U33,V33,R33,S33)*$Z33,0)</f>
        <v>0</v>
      </c>
      <c r="AI33" s="132">
        <f>IF($D33&lt;&gt;"",VLOOKUP($D33,'Building Type'!$H$4:$I$24,2,0),0)*$AG33</f>
        <v>0</v>
      </c>
      <c r="AJ33" s="132">
        <f>IF($D33&lt;&gt;"",VLOOKUP($D33,'Building Type'!$H$4:$I$24,2,0),0)*$AH33</f>
        <v>0</v>
      </c>
      <c r="AK33" s="132">
        <f>IF(ISBLANK($B33)=FALSE,AnnualThermSavingsPerUnit(D33,E33,H33,N33,O33,P33,AS33,AT33,Q33,T33,W33,X33,U33,V33,R33,S33)*$Y33,0)</f>
        <v>0</v>
      </c>
      <c r="AL33" s="132">
        <f>IF(ISBLANK($B33)=FALSE,AnnualThermSavingsPerUnit(D33,E33,H33,N33,O33,P33,AS33,AT33,Q33,T33,W33,X33,U33,V33,R33,S33)*$Z33,0)</f>
        <v>0</v>
      </c>
      <c r="AM33" s="132">
        <f>IF($D33&lt;&gt;"",VLOOKUP($D33,'Building Type'!$H$4:$I$24,2,0),0)*$AK33</f>
        <v>0</v>
      </c>
      <c r="AN33" s="132">
        <f>IF($D33&lt;&gt;"",VLOOKUP($D33,'Building Type'!$H$4:$I$24,2,0),0)*$AL33</f>
        <v>0</v>
      </c>
      <c r="AO33" s="71"/>
      <c r="AP33" s="67"/>
      <c r="AQ33" s="71"/>
      <c r="AR33" s="67"/>
      <c r="AS33" s="95">
        <f>IF(ISBLANK($I33)=FALSE,VLOOKUP($I33,'Building Type'!$A$4:$C$24,2,0),0)</f>
        <v>0</v>
      </c>
      <c r="AT33" s="95">
        <f>IF(ISBLANK($I33)=FALSE,VLOOKUP($I33,'Building Type'!$A$4:$C$24,3,0),0)</f>
        <v>0</v>
      </c>
    </row>
    <row r="34" spans="1:46" s="70" customFormat="1" x14ac:dyDescent="0.2">
      <c r="A34" s="133"/>
      <c r="B34" s="133"/>
      <c r="C34" s="134" t="str">
        <f t="shared" si="1"/>
        <v/>
      </c>
      <c r="D34" s="134" t="str">
        <f t="shared" si="2"/>
        <v/>
      </c>
      <c r="E34" s="134" t="str">
        <f t="shared" si="3"/>
        <v/>
      </c>
      <c r="F34" s="135"/>
      <c r="G34" s="135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29"/>
      <c r="T34" s="130"/>
      <c r="U34" s="130"/>
      <c r="V34" s="130"/>
      <c r="W34" s="128"/>
      <c r="X34" s="128"/>
      <c r="Y34" s="118"/>
      <c r="Z34" s="118"/>
      <c r="AA34" s="131">
        <f>IF(E34&lt;&gt;"",VLOOKUP(D34&amp;E34,'Incentive Structure'!$H$4:$J$60,2,0),0)</f>
        <v>0</v>
      </c>
      <c r="AB34" s="131">
        <f t="shared" si="4"/>
        <v>0</v>
      </c>
      <c r="AC34" s="131">
        <f t="shared" si="5"/>
        <v>0</v>
      </c>
      <c r="AD34" s="131">
        <f t="shared" si="6"/>
        <v>0</v>
      </c>
      <c r="AE34" s="132">
        <f>IF(ISBLANK($B34)=FALSE, kWSavingsPerUnit(D34,E34,H34,J34,K34,L34,M34,N34,O34,P34,AS34,AT34,Q34,T34,W34,X34,U34,V34,R34,S34)*$Y34, 0)</f>
        <v>0</v>
      </c>
      <c r="AF34" s="132">
        <f>IF(ISBLANK($B34)=FALSE,kWSavingsPerUnit(D34,E34,H34,J34,K34,L34,M34,N34,O34,P34,AS34,AT34,Q34,T34,W34,X34,U34,V34,R34,S34)*$Z34,0)</f>
        <v>0</v>
      </c>
      <c r="AG34" s="132">
        <f>IF(ISBLANK($B34)=FALSE,AnnualkWhSavingsPerUnit(D34,E34,H34,J34,K34,L34,M34,N34,O34,P34,AS34,AT34,Q34,T34,W34,X34,U34,V34,R34,S34)*$Y34,0)</f>
        <v>0</v>
      </c>
      <c r="AH34" s="132">
        <f>IF(ISBLANK($B34)=FALSE,AnnualkWhSavingsPerUnit(D34,E34,H34,J34,K34,L34,M34,N34,O34,P34,AS34,AT34,Q34,T34,W34,X34,U34,V34,R34,S34)*$Z34,0)</f>
        <v>0</v>
      </c>
      <c r="AI34" s="132">
        <f>IF($D34&lt;&gt;"",VLOOKUP($D34,'Building Type'!$H$4:$I$24,2,0),0)*$AG34</f>
        <v>0</v>
      </c>
      <c r="AJ34" s="132">
        <f>IF($D34&lt;&gt;"",VLOOKUP($D34,'Building Type'!$H$4:$I$24,2,0),0)*$AH34</f>
        <v>0</v>
      </c>
      <c r="AK34" s="132">
        <f>IF(ISBLANK($B34)=FALSE,AnnualThermSavingsPerUnit(D34,E34,H34,N34,O34,P34,AS34,AT34,Q34,T34,W34,X34,U34,V34,R34,S34)*$Y34,0)</f>
        <v>0</v>
      </c>
      <c r="AL34" s="132">
        <f>IF(ISBLANK($B34)=FALSE,AnnualThermSavingsPerUnit(D34,E34,H34,N34,O34,P34,AS34,AT34,Q34,T34,W34,X34,U34,V34,R34,S34)*$Z34,0)</f>
        <v>0</v>
      </c>
      <c r="AM34" s="132">
        <f>IF($D34&lt;&gt;"",VLOOKUP($D34,'Building Type'!$H$4:$I$24,2,0),0)*$AK34</f>
        <v>0</v>
      </c>
      <c r="AN34" s="132">
        <f>IF($D34&lt;&gt;"",VLOOKUP($D34,'Building Type'!$H$4:$I$24,2,0),0)*$AL34</f>
        <v>0</v>
      </c>
      <c r="AO34" s="71"/>
      <c r="AP34" s="67"/>
      <c r="AQ34" s="71"/>
      <c r="AR34" s="67"/>
      <c r="AS34" s="95">
        <f>IF(ISBLANK($I34)=FALSE,VLOOKUP($I34,'Building Type'!$A$4:$C$24,2,0),0)</f>
        <v>0</v>
      </c>
      <c r="AT34" s="95">
        <f>IF(ISBLANK($I34)=FALSE,VLOOKUP($I34,'Building Type'!$A$4:$C$24,3,0),0)</f>
        <v>0</v>
      </c>
    </row>
    <row r="35" spans="1:46" s="70" customFormat="1" x14ac:dyDescent="0.2">
      <c r="A35" s="133"/>
      <c r="B35" s="133"/>
      <c r="C35" s="134" t="str">
        <f t="shared" si="1"/>
        <v/>
      </c>
      <c r="D35" s="134" t="str">
        <f t="shared" si="2"/>
        <v/>
      </c>
      <c r="E35" s="134" t="str">
        <f t="shared" si="3"/>
        <v/>
      </c>
      <c r="F35" s="135"/>
      <c r="G35" s="135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29"/>
      <c r="T35" s="130"/>
      <c r="U35" s="130"/>
      <c r="V35" s="130"/>
      <c r="W35" s="128"/>
      <c r="X35" s="128"/>
      <c r="Y35" s="118"/>
      <c r="Z35" s="118"/>
      <c r="AA35" s="131">
        <f>IF(E35&lt;&gt;"",VLOOKUP(D35&amp;E35,'Incentive Structure'!$H$4:$J$60,2,0),0)</f>
        <v>0</v>
      </c>
      <c r="AB35" s="131">
        <f t="shared" si="4"/>
        <v>0</v>
      </c>
      <c r="AC35" s="131">
        <f t="shared" si="5"/>
        <v>0</v>
      </c>
      <c r="AD35" s="131">
        <f t="shared" si="6"/>
        <v>0</v>
      </c>
      <c r="AE35" s="132">
        <f>IF(ISBLANK($B35)=FALSE, kWSavingsPerUnit(D35,E35,H35,J35,K35,L35,M35,N35,O35,P35,AS35,AT35,Q35,T35,W35,X35,U35,V35,R35,S35)*$Y35, 0)</f>
        <v>0</v>
      </c>
      <c r="AF35" s="132">
        <f>IF(ISBLANK($B35)=FALSE,kWSavingsPerUnit(D35,E35,H35,J35,K35,L35,M35,N35,O35,P35,AS35,AT35,Q35,T35,W35,X35,U35,V35,R35,S35)*$Z35,0)</f>
        <v>0</v>
      </c>
      <c r="AG35" s="132">
        <f>IF(ISBLANK($B35)=FALSE,AnnualkWhSavingsPerUnit(D35,E35,H35,J35,K35,L35,M35,N35,O35,P35,AS35,AT35,Q35,T35,W35,X35,U35,V35,R35,S35)*$Y35,0)</f>
        <v>0</v>
      </c>
      <c r="AH35" s="132">
        <f>IF(ISBLANK($B35)=FALSE,AnnualkWhSavingsPerUnit(D35,E35,H35,J35,K35,L35,M35,N35,O35,P35,AS35,AT35,Q35,T35,W35,X35,U35,V35,R35,S35)*$Z35,0)</f>
        <v>0</v>
      </c>
      <c r="AI35" s="132">
        <f>IF($D35&lt;&gt;"",VLOOKUP($D35,'Building Type'!$H$4:$I$24,2,0),0)*$AG35</f>
        <v>0</v>
      </c>
      <c r="AJ35" s="132">
        <f>IF($D35&lt;&gt;"",VLOOKUP($D35,'Building Type'!$H$4:$I$24,2,0),0)*$AH35</f>
        <v>0</v>
      </c>
      <c r="AK35" s="132">
        <f>IF(ISBLANK($B35)=FALSE,AnnualThermSavingsPerUnit(D35,E35,H35,N35,O35,P35,AS35,AT35,Q35,T35,W35,X35,U35,V35,R35,S35)*$Y35,0)</f>
        <v>0</v>
      </c>
      <c r="AL35" s="132">
        <f>IF(ISBLANK($B35)=FALSE,AnnualThermSavingsPerUnit(D35,E35,H35,N35,O35,P35,AS35,AT35,Q35,T35,W35,X35,U35,V35,R35,S35)*$Z35,0)</f>
        <v>0</v>
      </c>
      <c r="AM35" s="132">
        <f>IF($D35&lt;&gt;"",VLOOKUP($D35,'Building Type'!$H$4:$I$24,2,0),0)*$AK35</f>
        <v>0</v>
      </c>
      <c r="AN35" s="132">
        <f>IF($D35&lt;&gt;"",VLOOKUP($D35,'Building Type'!$H$4:$I$24,2,0),0)*$AL35</f>
        <v>0</v>
      </c>
      <c r="AO35" s="71"/>
      <c r="AP35" s="67"/>
      <c r="AQ35" s="71"/>
      <c r="AR35" s="67"/>
      <c r="AS35" s="95">
        <f>IF(ISBLANK($I35)=FALSE,VLOOKUP($I35,'Building Type'!$A$4:$C$24,2,0),0)</f>
        <v>0</v>
      </c>
      <c r="AT35" s="95">
        <f>IF(ISBLANK($I35)=FALSE,VLOOKUP($I35,'Building Type'!$A$4:$C$24,3,0),0)</f>
        <v>0</v>
      </c>
    </row>
    <row r="36" spans="1:46" s="70" customFormat="1" x14ac:dyDescent="0.2">
      <c r="A36" s="133"/>
      <c r="B36" s="133"/>
      <c r="C36" s="134" t="str">
        <f t="shared" si="1"/>
        <v/>
      </c>
      <c r="D36" s="134" t="str">
        <f t="shared" si="2"/>
        <v/>
      </c>
      <c r="E36" s="134" t="str">
        <f t="shared" si="3"/>
        <v/>
      </c>
      <c r="F36" s="135"/>
      <c r="G36" s="135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29"/>
      <c r="T36" s="130"/>
      <c r="U36" s="130"/>
      <c r="V36" s="130"/>
      <c r="W36" s="128"/>
      <c r="X36" s="128"/>
      <c r="Y36" s="118"/>
      <c r="Z36" s="118"/>
      <c r="AA36" s="131">
        <f>IF(E36&lt;&gt;"",VLOOKUP(D36&amp;E36,'Incentive Structure'!$H$4:$J$60,2,0),0)</f>
        <v>0</v>
      </c>
      <c r="AB36" s="131">
        <f t="shared" si="4"/>
        <v>0</v>
      </c>
      <c r="AC36" s="131">
        <f t="shared" si="5"/>
        <v>0</v>
      </c>
      <c r="AD36" s="131">
        <f t="shared" si="6"/>
        <v>0</v>
      </c>
      <c r="AE36" s="132">
        <f>IF(ISBLANK($B36)=FALSE, kWSavingsPerUnit(D36,E36,H36,J36,K36,L36,M36,N36,O36,P36,AS36,AT36,Q36,T36,W36,X36,U36,V36,R36,S36)*$Y36, 0)</f>
        <v>0</v>
      </c>
      <c r="AF36" s="132">
        <f>IF(ISBLANK($B36)=FALSE,kWSavingsPerUnit(D36,E36,H36,J36,K36,L36,M36,N36,O36,P36,AS36,AT36,Q36,T36,W36,X36,U36,V36,R36,S36)*$Z36,0)</f>
        <v>0</v>
      </c>
      <c r="AG36" s="132">
        <f>IF(ISBLANK($B36)=FALSE,AnnualkWhSavingsPerUnit(D36,E36,H36,J36,K36,L36,M36,N36,O36,P36,AS36,AT36,Q36,T36,W36,X36,U36,V36,R36,S36)*$Y36,0)</f>
        <v>0</v>
      </c>
      <c r="AH36" s="132">
        <f>IF(ISBLANK($B36)=FALSE,AnnualkWhSavingsPerUnit(D36,E36,H36,J36,K36,L36,M36,N36,O36,P36,AS36,AT36,Q36,T36,W36,X36,U36,V36,R36,S36)*$Z36,0)</f>
        <v>0</v>
      </c>
      <c r="AI36" s="132">
        <f>IF($D36&lt;&gt;"",VLOOKUP($D36,'Building Type'!$H$4:$I$24,2,0),0)*$AG36</f>
        <v>0</v>
      </c>
      <c r="AJ36" s="132">
        <f>IF($D36&lt;&gt;"",VLOOKUP($D36,'Building Type'!$H$4:$I$24,2,0),0)*$AH36</f>
        <v>0</v>
      </c>
      <c r="AK36" s="132">
        <f>IF(ISBLANK($B36)=FALSE,AnnualThermSavingsPerUnit(D36,E36,H36,N36,O36,P36,AS36,AT36,Q36,T36,W36,X36,U36,V36,R36,S36)*$Y36,0)</f>
        <v>0</v>
      </c>
      <c r="AL36" s="132">
        <f>IF(ISBLANK($B36)=FALSE,AnnualThermSavingsPerUnit(D36,E36,H36,N36,O36,P36,AS36,AT36,Q36,T36,W36,X36,U36,V36,R36,S36)*$Z36,0)</f>
        <v>0</v>
      </c>
      <c r="AM36" s="132">
        <f>IF($D36&lt;&gt;"",VLOOKUP($D36,'Building Type'!$H$4:$I$24,2,0),0)*$AK36</f>
        <v>0</v>
      </c>
      <c r="AN36" s="132">
        <f>IF($D36&lt;&gt;"",VLOOKUP($D36,'Building Type'!$H$4:$I$24,2,0),0)*$AL36</f>
        <v>0</v>
      </c>
      <c r="AO36" s="71"/>
      <c r="AP36" s="67"/>
      <c r="AQ36" s="71"/>
      <c r="AR36" s="67"/>
      <c r="AS36" s="95">
        <f>IF(ISBLANK($I36)=FALSE,VLOOKUP($I36,'Building Type'!$A$4:$C$24,2,0),0)</f>
        <v>0</v>
      </c>
      <c r="AT36" s="95">
        <f>IF(ISBLANK($I36)=FALSE,VLOOKUP($I36,'Building Type'!$A$4:$C$24,3,0),0)</f>
        <v>0</v>
      </c>
    </row>
    <row r="37" spans="1:46" s="70" customFormat="1" x14ac:dyDescent="0.2">
      <c r="A37" s="133"/>
      <c r="B37" s="133"/>
      <c r="C37" s="134" t="str">
        <f t="shared" si="1"/>
        <v/>
      </c>
      <c r="D37" s="134" t="str">
        <f t="shared" si="2"/>
        <v/>
      </c>
      <c r="E37" s="134" t="str">
        <f t="shared" si="3"/>
        <v/>
      </c>
      <c r="F37" s="135"/>
      <c r="G37" s="135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29"/>
      <c r="T37" s="130"/>
      <c r="U37" s="130"/>
      <c r="V37" s="130"/>
      <c r="W37" s="128"/>
      <c r="X37" s="128"/>
      <c r="Y37" s="118"/>
      <c r="Z37" s="118"/>
      <c r="AA37" s="131">
        <f>IF(E37&lt;&gt;"",VLOOKUP(D37&amp;E37,'Incentive Structure'!$H$4:$J$60,2,0),0)</f>
        <v>0</v>
      </c>
      <c r="AB37" s="131">
        <f t="shared" si="4"/>
        <v>0</v>
      </c>
      <c r="AC37" s="131">
        <f t="shared" si="5"/>
        <v>0</v>
      </c>
      <c r="AD37" s="131">
        <f t="shared" si="6"/>
        <v>0</v>
      </c>
      <c r="AE37" s="132">
        <f>IF(ISBLANK($B37)=FALSE, kWSavingsPerUnit(D37,E37,H37,J37,K37,L37,M37,N37,O37,P37,AS37,AT37,Q37,T37,W37,X37,U37,V37,R37,S37)*$Y37, 0)</f>
        <v>0</v>
      </c>
      <c r="AF37" s="132">
        <f>IF(ISBLANK($B37)=FALSE,kWSavingsPerUnit(D37,E37,H37,J37,K37,L37,M37,N37,O37,P37,AS37,AT37,Q37,T37,W37,X37,U37,V37,R37,S37)*$Z37,0)</f>
        <v>0</v>
      </c>
      <c r="AG37" s="132">
        <f>IF(ISBLANK($B37)=FALSE,AnnualkWhSavingsPerUnit(D37,E37,H37,J37,K37,L37,M37,N37,O37,P37,AS37,AT37,Q37,T37,W37,X37,U37,V37,R37,S37)*$Y37,0)</f>
        <v>0</v>
      </c>
      <c r="AH37" s="132">
        <f>IF(ISBLANK($B37)=FALSE,AnnualkWhSavingsPerUnit(D37,E37,H37,J37,K37,L37,M37,N37,O37,P37,AS37,AT37,Q37,T37,W37,X37,U37,V37,R37,S37)*$Z37,0)</f>
        <v>0</v>
      </c>
      <c r="AI37" s="132">
        <f>IF($D37&lt;&gt;"",VLOOKUP($D37,'Building Type'!$H$4:$I$24,2,0),0)*$AG37</f>
        <v>0</v>
      </c>
      <c r="AJ37" s="132">
        <f>IF($D37&lt;&gt;"",VLOOKUP($D37,'Building Type'!$H$4:$I$24,2,0),0)*$AH37</f>
        <v>0</v>
      </c>
      <c r="AK37" s="132">
        <f>IF(ISBLANK($B37)=FALSE,AnnualThermSavingsPerUnit(D37,E37,H37,N37,O37,P37,AS37,AT37,Q37,T37,W37,X37,U37,V37,R37,S37)*$Y37,0)</f>
        <v>0</v>
      </c>
      <c r="AL37" s="132">
        <f>IF(ISBLANK($B37)=FALSE,AnnualThermSavingsPerUnit(D37,E37,H37,N37,O37,P37,AS37,AT37,Q37,T37,W37,X37,U37,V37,R37,S37)*$Z37,0)</f>
        <v>0</v>
      </c>
      <c r="AM37" s="132">
        <f>IF($D37&lt;&gt;"",VLOOKUP($D37,'Building Type'!$H$4:$I$24,2,0),0)*$AK37</f>
        <v>0</v>
      </c>
      <c r="AN37" s="132">
        <f>IF($D37&lt;&gt;"",VLOOKUP($D37,'Building Type'!$H$4:$I$24,2,0),0)*$AL37</f>
        <v>0</v>
      </c>
      <c r="AO37" s="71"/>
      <c r="AP37" s="67"/>
      <c r="AQ37" s="71"/>
      <c r="AR37" s="67"/>
      <c r="AS37" s="95">
        <f>IF(ISBLANK($I37)=FALSE,VLOOKUP($I37,'Building Type'!$A$4:$C$24,2,0),0)</f>
        <v>0</v>
      </c>
      <c r="AT37" s="95">
        <f>IF(ISBLANK($I37)=FALSE,VLOOKUP($I37,'Building Type'!$A$4:$C$24,3,0),0)</f>
        <v>0</v>
      </c>
    </row>
    <row r="38" spans="1:46" s="70" customFormat="1" x14ac:dyDescent="0.2">
      <c r="A38" s="133"/>
      <c r="B38" s="133"/>
      <c r="C38" s="134" t="str">
        <f t="shared" si="1"/>
        <v/>
      </c>
      <c r="D38" s="134" t="str">
        <f t="shared" si="2"/>
        <v/>
      </c>
      <c r="E38" s="134" t="str">
        <f t="shared" si="3"/>
        <v/>
      </c>
      <c r="F38" s="135"/>
      <c r="G38" s="135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  <c r="S38" s="129"/>
      <c r="T38" s="130"/>
      <c r="U38" s="130"/>
      <c r="V38" s="130"/>
      <c r="W38" s="128"/>
      <c r="X38" s="128"/>
      <c r="Y38" s="118"/>
      <c r="Z38" s="118"/>
      <c r="AA38" s="131">
        <f>IF(E38&lt;&gt;"",VLOOKUP(D38&amp;E38,'Incentive Structure'!$H$4:$J$60,2,0),0)</f>
        <v>0</v>
      </c>
      <c r="AB38" s="131">
        <f t="shared" si="4"/>
        <v>0</v>
      </c>
      <c r="AC38" s="131">
        <f t="shared" si="5"/>
        <v>0</v>
      </c>
      <c r="AD38" s="131">
        <f t="shared" si="6"/>
        <v>0</v>
      </c>
      <c r="AE38" s="132">
        <f>IF(ISBLANK($B38)=FALSE, kWSavingsPerUnit(D38,E38,H38,J38,K38,L38,M38,N38,O38,P38,AS38,AT38,Q38,T38,W38,X38,U38,V38,R38,S38)*$Y38, 0)</f>
        <v>0</v>
      </c>
      <c r="AF38" s="132">
        <f>IF(ISBLANK($B38)=FALSE,kWSavingsPerUnit(D38,E38,H38,J38,K38,L38,M38,N38,O38,P38,AS38,AT38,Q38,T38,W38,X38,U38,V38,R38,S38)*$Z38,0)</f>
        <v>0</v>
      </c>
      <c r="AG38" s="132">
        <f>IF(ISBLANK($B38)=FALSE,AnnualkWhSavingsPerUnit(D38,E38,H38,J38,K38,L38,M38,N38,O38,P38,AS38,AT38,Q38,T38,W38,X38,U38,V38,R38,S38)*$Y38,0)</f>
        <v>0</v>
      </c>
      <c r="AH38" s="132">
        <f>IF(ISBLANK($B38)=FALSE,AnnualkWhSavingsPerUnit(D38,E38,H38,J38,K38,L38,M38,N38,O38,P38,AS38,AT38,Q38,T38,W38,X38,U38,V38,R38,S38)*$Z38,0)</f>
        <v>0</v>
      </c>
      <c r="AI38" s="132">
        <f>IF($D38&lt;&gt;"",VLOOKUP($D38,'Building Type'!$H$4:$I$24,2,0),0)*$AG38</f>
        <v>0</v>
      </c>
      <c r="AJ38" s="132">
        <f>IF($D38&lt;&gt;"",VLOOKUP($D38,'Building Type'!$H$4:$I$24,2,0),0)*$AH38</f>
        <v>0</v>
      </c>
      <c r="AK38" s="132">
        <f>IF(ISBLANK($B38)=FALSE,AnnualThermSavingsPerUnit(D38,E38,H38,N38,O38,P38,AS38,AT38,Q38,T38,W38,X38,U38,V38,R38,S38)*$Y38,0)</f>
        <v>0</v>
      </c>
      <c r="AL38" s="132">
        <f>IF(ISBLANK($B38)=FALSE,AnnualThermSavingsPerUnit(D38,E38,H38,N38,O38,P38,AS38,AT38,Q38,T38,W38,X38,U38,V38,R38,S38)*$Z38,0)</f>
        <v>0</v>
      </c>
      <c r="AM38" s="132">
        <f>IF($D38&lt;&gt;"",VLOOKUP($D38,'Building Type'!$H$4:$I$24,2,0),0)*$AK38</f>
        <v>0</v>
      </c>
      <c r="AN38" s="132">
        <f>IF($D38&lt;&gt;"",VLOOKUP($D38,'Building Type'!$H$4:$I$24,2,0),0)*$AL38</f>
        <v>0</v>
      </c>
      <c r="AO38" s="71"/>
      <c r="AP38" s="67"/>
      <c r="AQ38" s="71"/>
      <c r="AR38" s="67"/>
      <c r="AS38" s="95">
        <f>IF(ISBLANK($I38)=FALSE,VLOOKUP($I38,'Building Type'!$A$4:$C$24,2,0),0)</f>
        <v>0</v>
      </c>
      <c r="AT38" s="95">
        <f>IF(ISBLANK($I38)=FALSE,VLOOKUP($I38,'Building Type'!$A$4:$C$24,3,0),0)</f>
        <v>0</v>
      </c>
    </row>
  </sheetData>
  <sheetProtection algorithmName="SHA-512" hashValue="VISrvNxYrUwdtkuE9mHkhQ5u8W9G/gTb1MGViwBGHXnLThBzb9sGqvHcffNlcHgfXmcL0qVa0aHcrbUvjDJHQw==" saltValue="W27GrLtUPyaI4BHKYxphyg==" spinCount="100000" sheet="1" objects="1" scenarios="1"/>
  <mergeCells count="15">
    <mergeCell ref="B8:D8"/>
    <mergeCell ref="B7:D7"/>
    <mergeCell ref="F3:I3"/>
    <mergeCell ref="F7:I7"/>
    <mergeCell ref="A1:D1"/>
    <mergeCell ref="AI5:AK5"/>
    <mergeCell ref="AF6:AH9"/>
    <mergeCell ref="AI6:AK9"/>
    <mergeCell ref="AG3:AH3"/>
    <mergeCell ref="AF5:AH5"/>
    <mergeCell ref="AA12:AB12"/>
    <mergeCell ref="F8:I8"/>
    <mergeCell ref="B3:D3"/>
    <mergeCell ref="B5:D5"/>
    <mergeCell ref="B4:D4"/>
  </mergeCells>
  <phoneticPr fontId="0" type="noConversion"/>
  <conditionalFormatting sqref="I14:I38">
    <cfRule type="expression" dxfId="46" priority="46" stopIfTrue="1">
      <formula>AND(OR($C14="Cooking",$C14="Holding"),ISBLANK($I14)=FALSE)</formula>
    </cfRule>
    <cfRule type="expression" dxfId="45" priority="67" stopIfTrue="1">
      <formula>AND(OR($C14="Cooking",$C14="Holding"),ISBLANK($I14)=TRUE)</formula>
    </cfRule>
    <cfRule type="expression" dxfId="44" priority="70" stopIfTrue="1">
      <formula>AND($C14&lt;&gt;"Cooking",$C14&lt;&gt;"Holding")</formula>
    </cfRule>
  </conditionalFormatting>
  <conditionalFormatting sqref="H14:H38">
    <cfRule type="expression" dxfId="43" priority="31" stopIfTrue="1">
      <formula>AND(OR($D14="Convection Oven Electric",$D14="Convection Oven Natural Gas"), ISBLANK($H14)=FALSE)</formula>
    </cfRule>
    <cfRule type="expression" dxfId="42" priority="33" stopIfTrue="1">
      <formula>AND(OR($D14="Convection Oven Electric",$D14="Convection Oven Natural Gas"), ISBLANK($H14)=TRUE)</formula>
    </cfRule>
    <cfRule type="expression" dxfId="41" priority="84" stopIfTrue="1">
      <formula>AND($D14&lt;&gt;"Convection Oven Electric",$D14&lt;&gt;"Convection Oven Natural Gas")</formula>
    </cfRule>
  </conditionalFormatting>
  <conditionalFormatting sqref="J14:J38">
    <cfRule type="expression" dxfId="40" priority="58" stopIfTrue="1">
      <formula>AND(J14&gt;0, OR($D14="Glass Door Freezers", $D14="Glass Door Refrigerators",$D14="Solid Door Freezers",$D14="Solid Door Refrigerators"))</formula>
    </cfRule>
    <cfRule type="expression" dxfId="39" priority="191" stopIfTrue="1">
      <formula>AND(OR(J14=0,ISBLANK(J14)=TRUE), OR($D14="Solid Door Freezers",$D14="Glass Door Freezers",$D14="Glass Door Refrigerators",$D14="Solid Door Refrigerators"))</formula>
    </cfRule>
    <cfRule type="expression" dxfId="38" priority="218" stopIfTrue="1">
      <formula>AND($D14&lt;&gt;"Glass Door Freezers", $D14&lt;&gt;"Glass Door Refrigerators",$D14&lt;&gt;"Solid Door Freezers",$D14&lt;&gt;"Solid Door Refrigerators")</formula>
    </cfRule>
  </conditionalFormatting>
  <conditionalFormatting sqref="K14:K38">
    <cfRule type="expression" dxfId="37" priority="28" stopIfTrue="1">
      <formula>AND(K14&gt;0, OR($D14="Glass Door Freezers", $D14="Glass Door Refrigerators",$D14="Solid Door Freezers",$D14="Solid Door Refrigerators"))</formula>
    </cfRule>
    <cfRule type="expression" dxfId="36" priority="29" stopIfTrue="1">
      <formula>AND(OR(K14=0,ISBLANK(K14)=TRUE), OR($D14="Solid Door Freezers",$D14="Glass Door Freezers",$D14="Glass Door Refrigerators",$D14="Solid Door Refrigerators"))</formula>
    </cfRule>
    <cfRule type="expression" dxfId="35" priority="30" stopIfTrue="1">
      <formula>AND($D14&lt;&gt;"Glass Door Freezers", $D14&lt;&gt;"Glass Door Refrigerators",$D14&lt;&gt;"Solid Door Freezers",$D14&lt;&gt;"Solid Door Refrigerators")</formula>
    </cfRule>
  </conditionalFormatting>
  <conditionalFormatting sqref="O14:O38">
    <cfRule type="expression" dxfId="34" priority="22" stopIfTrue="1">
      <formula>AND( ISBLANK(O14 )=FALSE, $D14="Dishwasher")</formula>
    </cfRule>
    <cfRule type="expression" dxfId="33" priority="23" stopIfTrue="1">
      <formula>AND($D14="Dishwasher",ISBLANK(O14)=TRUE)</formula>
    </cfRule>
    <cfRule type="expression" dxfId="32" priority="24" stopIfTrue="1">
      <formula>$D14&lt;&gt;"Dishwasher"</formula>
    </cfRule>
  </conditionalFormatting>
  <conditionalFormatting sqref="P14:P38">
    <cfRule type="expression" dxfId="31" priority="19" stopIfTrue="1">
      <formula>AND( ISBLANK(P14 )=FALSE, $D14="Dishwasher")</formula>
    </cfRule>
    <cfRule type="expression" dxfId="30" priority="20" stopIfTrue="1">
      <formula>AND($D14="Dishwasher",ISBLANK(P14)=TRUE)</formula>
    </cfRule>
    <cfRule type="expression" dxfId="29" priority="21" stopIfTrue="1">
      <formula>$D14&lt;&gt;"Dishwasher"</formula>
    </cfRule>
  </conditionalFormatting>
  <conditionalFormatting sqref="R14:R38">
    <cfRule type="expression" dxfId="28" priority="173" stopIfTrue="1">
      <formula>AND(OR($D14="Combination Oven Steamer Electric",$D14="Combination Oven Steamer Natural Gas"),R14&gt;0)</formula>
    </cfRule>
    <cfRule type="expression" dxfId="27" priority="187" stopIfTrue="1">
      <formula>AND(OR($D14="Combination Oven Steamer Electric",$D14="Combination Oven Steamer Natural Gas"),OR(R14=0,ISBLANK(R14)=TRUE))</formula>
    </cfRule>
    <cfRule type="expression" dxfId="26" priority="210" stopIfTrue="1">
      <formula>AND($D14&lt;&gt;"Combination Oven Steamer Electric",$D14&lt;&gt;"Combination Oven Steamer Natural Gas")</formula>
    </cfRule>
  </conditionalFormatting>
  <conditionalFormatting sqref="S14:S38">
    <cfRule type="cellIs" dxfId="25" priority="1" operator="between">
      <formula>10</formula>
      <formula>1500</formula>
    </cfRule>
    <cfRule type="expression" dxfId="24" priority="10" stopIfTrue="1">
      <formula>AND(OR($D14="Combination Oven Steamer Electric",$D14="Combination Oven Steamer Natural Gas"),S14&gt;0)</formula>
    </cfRule>
    <cfRule type="expression" dxfId="23" priority="11" stopIfTrue="1">
      <formula>AND(OR($D14="Combination Oven Steamer Electric",$D14="Combination Oven Steamer Natural Gas"),OR(S14=0,ISBLANK(S14)=TRUE))</formula>
    </cfRule>
    <cfRule type="expression" dxfId="22" priority="12" stopIfTrue="1">
      <formula>AND($D14&lt;&gt;"Combination Oven Steamer Electric",$D14&lt;&gt;"Combination Oven Steamer Natural Gas")</formula>
    </cfRule>
  </conditionalFormatting>
  <conditionalFormatting sqref="U14:V38">
    <cfRule type="expression" dxfId="21" priority="7" stopIfTrue="1">
      <formula>AND(OR($D14="Combination Oven Steamer Electric",$D14="Combination Oven Steamer Natural Gas"),U14&gt;0)</formula>
    </cfRule>
    <cfRule type="expression" dxfId="20" priority="8" stopIfTrue="1">
      <formula>AND(OR($D14="Combination Oven Steamer Electric",$D14="Combination Oven Steamer Natural Gas"),OR(U14=0,ISBLANK(U14)=TRUE))</formula>
    </cfRule>
    <cfRule type="expression" dxfId="19" priority="9" stopIfTrue="1">
      <formula>AND($D14&lt;&gt;"Combination Oven Steamer Electric",$D14&lt;&gt;"Combination Oven Steamer Natural Gas")</formula>
    </cfRule>
  </conditionalFormatting>
  <conditionalFormatting sqref="L14:M38">
    <cfRule type="expression" dxfId="18" priority="231" stopIfTrue="1">
      <formula>AND($D14="Ice Machines",OR(ISBLANK($L14)=TRUE,L14=0))</formula>
    </cfRule>
    <cfRule type="expression" dxfId="17" priority="232" stopIfTrue="1">
      <formula>AND(L14&gt;0,$D14="Ice Machines")</formula>
    </cfRule>
    <cfRule type="expression" dxfId="16" priority="233" stopIfTrue="1">
      <formula>$D14&lt;&gt;"Ice Machines"</formula>
    </cfRule>
  </conditionalFormatting>
  <conditionalFormatting sqref="N14:N38">
    <cfRule type="expression" dxfId="15" priority="237" stopIfTrue="1">
      <formula>AND( ISBLANK($N14 )=FALSE, $D14="Dishwasher")</formula>
    </cfRule>
    <cfRule type="expression" dxfId="14" priority="238" stopIfTrue="1">
      <formula>AND($D14="Dishwasher",ISBLANK($N14)=TRUE)</formula>
    </cfRule>
    <cfRule type="expression" dxfId="13" priority="239" stopIfTrue="1">
      <formula>$D14&lt;&gt;"Dishwasher"</formula>
    </cfRule>
  </conditionalFormatting>
  <conditionalFormatting sqref="Q14:Q38">
    <cfRule type="expression" dxfId="12" priority="240" stopIfTrue="1">
      <formula>AND(OR($C14="Cooking",$C14="Holding"),ISBLANK($Q14)=FALSE,AND($D14&lt;&gt;"Combination Oven Steamer Electric",$D14&lt;&gt;"Combination Oven Steamer Natural Gas"))</formula>
    </cfRule>
    <cfRule type="expression" dxfId="11" priority="241" stopIfTrue="1">
      <formula>AND(OR($C14="Cooking",$C14="Holding"), AND($D14&lt;&gt;"Combination Oven Steamer Electric",$D14&lt;&gt;"Combination Oven Steamer Natural Gas"), ISBLANK($Q14)=TRUE)</formula>
    </cfRule>
    <cfRule type="expression" dxfId="10" priority="242" stopIfTrue="1">
      <formula>OR(AND($C14&lt;&gt;"Cooking",$C14&lt;&gt;"Holding"),$D14="Combination Oven Steamer Electric",$D14="Combination Oven Steamer Natural Gas")</formula>
    </cfRule>
  </conditionalFormatting>
  <conditionalFormatting sqref="T14:T38">
    <cfRule type="expression" dxfId="9" priority="243" stopIfTrue="1">
      <formula>AND($C14="Cooking",$T14&gt;0,AND($D14&lt;&gt;"Combination Oven Steamer Electric",$D14&lt;&gt;"Combination Oven Steamer Natural Gas"))</formula>
    </cfRule>
    <cfRule type="expression" dxfId="8" priority="244" stopIfTrue="1">
      <formula>AND($C14="Cooking",AND($D14&lt;&gt;"Combination Oven Steamer Electric",$D14&lt;&gt;"Combination Oven Steamer Natural Gas"), OR(T14=0,ISBLANK($T14)=TRUE))</formula>
    </cfRule>
    <cfRule type="expression" dxfId="7" priority="245" stopIfTrue="1">
      <formula>OR($C14&lt;&gt;Cooking,$D14="Combination Oven Steamer Electric",$D14="Combination Oven Steamer Natural Gas")</formula>
    </cfRule>
  </conditionalFormatting>
  <conditionalFormatting sqref="W14:W38">
    <cfRule type="expression" dxfId="6" priority="246" stopIfTrue="1">
      <formula>AND(OR($D14="Steam Cooker Electric", $D14="Steam Cooker Natural Gas"),$W14&gt;0)</formula>
    </cfRule>
    <cfRule type="expression" dxfId="5" priority="247" stopIfTrue="1">
      <formula>AND(OR($D14="Steam Cooker Electric", $D14="Steam Cooker Natural Gas"),OR(W14=0,ISBLANK($W14)=TRUE))</formula>
    </cfRule>
    <cfRule type="expression" dxfId="4" priority="248" stopIfTrue="1">
      <formula>AND($D14&lt;&gt;"Steam Cooker Electric", $D14&lt;&gt;"Steam Cooker Natural Gas")</formula>
    </cfRule>
  </conditionalFormatting>
  <conditionalFormatting sqref="X14:X38">
    <cfRule type="expression" dxfId="3" priority="249" stopIfTrue="1">
      <formula>AND(OR($D14="Griddle Electric",$D14="Griddle Natural Gas"), $X14&gt;0)</formula>
    </cfRule>
    <cfRule type="expression" dxfId="2" priority="250" stopIfTrue="1">
      <formula>AND(OR($D14="Griddle Electric",$D14="Griddle Natural Gas"),OR(X14=0,ISBLANK($X14)=TRUE))</formula>
    </cfRule>
    <cfRule type="expression" dxfId="1" priority="251" stopIfTrue="1">
      <formula>AND($D14&lt;&gt;"Griddle Electric",$D14&lt;&gt;"Griddle Natural Gas")</formula>
    </cfRule>
  </conditionalFormatting>
  <conditionalFormatting sqref="Q14:R38">
    <cfRule type="cellIs" dxfId="0" priority="2" operator="between">
      <formula>10</formula>
      <formula>1500</formula>
    </cfRule>
  </conditionalFormatting>
  <dataValidations count="9">
    <dataValidation type="whole" operator="greaterThanOrEqual" allowBlank="1" showInputMessage="1" showErrorMessage="1" sqref="Y14:Z38" xr:uid="{00000000-0002-0000-0000-000000000000}">
      <formula1>0</formula1>
    </dataValidation>
    <dataValidation type="list" allowBlank="1" showInputMessage="1" showErrorMessage="1" sqref="BA24" xr:uid="{00000000-0002-0000-0000-000001000000}">
      <formula1>$BF$25:$BF$29</formula1>
    </dataValidation>
    <dataValidation type="list" allowBlank="1" showInputMessage="1" showErrorMessage="1" sqref="B14:B38" xr:uid="{00000000-0002-0000-0000-000002000000}">
      <formula1>"N,R"</formula1>
    </dataValidation>
    <dataValidation type="list" allowBlank="1" showInputMessage="1" showErrorMessage="1" sqref="AG3" xr:uid="{00000000-0002-0000-0000-000003000000}">
      <formula1>"Pre,Post"</formula1>
    </dataValidation>
    <dataValidation type="list" allowBlank="1" showInputMessage="1" showErrorMessage="1" sqref="P14:P38 N14:N38" xr:uid="{00000000-0002-0000-0000-000004000000}">
      <formula1>"Gas,Electric"</formula1>
    </dataValidation>
    <dataValidation type="list" allowBlank="1" showInputMessage="1" showErrorMessage="1" sqref="O14:O38" xr:uid="{00000000-0002-0000-0000-000005000000}">
      <formula1>"High Temperature, Low Temperature"</formula1>
    </dataValidation>
    <dataValidation type="list" allowBlank="1" showInputMessage="1" showErrorMessage="1" sqref="I14:I38" xr:uid="{00000000-0002-0000-0000-000006000000}">
      <formula1>Building_Type</formula1>
    </dataValidation>
    <dataValidation type="list" allowBlank="1" showInputMessage="1" showErrorMessage="1" sqref="H14:H38" xr:uid="{00000000-0002-0000-0000-000007000000}">
      <formula1>"Half, Full"</formula1>
    </dataValidation>
    <dataValidation type="list" allowBlank="1" showInputMessage="1" showErrorMessage="1" sqref="A14:A38" xr:uid="{00000000-0002-0000-0000-000008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10</xdr:row>
                    <xdr:rowOff>9525</xdr:rowOff>
                  </from>
                  <to>
                    <xdr:col>3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58"/>
  <sheetViews>
    <sheetView showGridLines="0" zoomScaleNormal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18" style="120" bestFit="1" customWidth="1"/>
    <col min="2" max="2" width="22" style="120" bestFit="1" customWidth="1"/>
    <col min="3" max="3" width="33.7109375" style="120" bestFit="1" customWidth="1"/>
    <col min="4" max="4" width="46.85546875" style="120" bestFit="1" customWidth="1"/>
    <col min="5" max="5" width="20.5703125" style="120" bestFit="1" customWidth="1"/>
    <col min="6" max="16384" width="8.85546875" style="120"/>
  </cols>
  <sheetData>
    <row r="1" spans="1:5" x14ac:dyDescent="0.2">
      <c r="A1" s="137" t="s">
        <v>228</v>
      </c>
      <c r="B1" s="137" t="s">
        <v>93</v>
      </c>
      <c r="C1" s="137" t="s">
        <v>94</v>
      </c>
      <c r="D1" s="137" t="s">
        <v>46</v>
      </c>
      <c r="E1" s="137" t="s">
        <v>229</v>
      </c>
    </row>
    <row r="2" spans="1:5" x14ac:dyDescent="0.2">
      <c r="A2" s="127" t="s">
        <v>171</v>
      </c>
      <c r="B2" s="127" t="s">
        <v>42</v>
      </c>
      <c r="C2" s="127" t="s">
        <v>97</v>
      </c>
      <c r="D2" s="127" t="s">
        <v>157</v>
      </c>
      <c r="E2" s="127">
        <v>1404</v>
      </c>
    </row>
    <row r="3" spans="1:5" x14ac:dyDescent="0.2">
      <c r="A3" s="127" t="s">
        <v>172</v>
      </c>
      <c r="B3" s="127" t="s">
        <v>42</v>
      </c>
      <c r="C3" s="127" t="s">
        <v>97</v>
      </c>
      <c r="D3" s="127" t="s">
        <v>156</v>
      </c>
      <c r="E3" s="127">
        <v>1404</v>
      </c>
    </row>
    <row r="4" spans="1:5" x14ac:dyDescent="0.2">
      <c r="A4" s="127" t="s">
        <v>173</v>
      </c>
      <c r="B4" s="127" t="s">
        <v>42</v>
      </c>
      <c r="C4" s="127" t="s">
        <v>97</v>
      </c>
      <c r="D4" s="127" t="s">
        <v>155</v>
      </c>
      <c r="E4" s="127">
        <v>1404</v>
      </c>
    </row>
    <row r="5" spans="1:5" x14ac:dyDescent="0.2">
      <c r="A5" s="127" t="s">
        <v>174</v>
      </c>
      <c r="B5" s="127" t="s">
        <v>42</v>
      </c>
      <c r="C5" s="127" t="s">
        <v>102</v>
      </c>
      <c r="D5" s="127" t="s">
        <v>158</v>
      </c>
      <c r="E5" s="127">
        <v>1405</v>
      </c>
    </row>
    <row r="6" spans="1:5" x14ac:dyDescent="0.2">
      <c r="A6" s="127" t="s">
        <v>175</v>
      </c>
      <c r="B6" s="127" t="s">
        <v>42</v>
      </c>
      <c r="C6" s="127" t="s">
        <v>102</v>
      </c>
      <c r="D6" s="127" t="s">
        <v>168</v>
      </c>
      <c r="E6" s="127">
        <v>1405</v>
      </c>
    </row>
    <row r="7" spans="1:5" x14ac:dyDescent="0.2">
      <c r="A7" s="127" t="s">
        <v>176</v>
      </c>
      <c r="B7" s="127" t="s">
        <v>42</v>
      </c>
      <c r="C7" s="127" t="s">
        <v>102</v>
      </c>
      <c r="D7" s="127" t="s">
        <v>160</v>
      </c>
      <c r="E7" s="127">
        <v>1405</v>
      </c>
    </row>
    <row r="8" spans="1:5" x14ac:dyDescent="0.2">
      <c r="A8" s="127" t="s">
        <v>177</v>
      </c>
      <c r="B8" s="127" t="s">
        <v>44</v>
      </c>
      <c r="C8" s="127" t="s">
        <v>76</v>
      </c>
      <c r="D8" s="127" t="s">
        <v>68</v>
      </c>
      <c r="E8" s="127">
        <v>1406</v>
      </c>
    </row>
    <row r="9" spans="1:5" x14ac:dyDescent="0.2">
      <c r="A9" s="127" t="s">
        <v>178</v>
      </c>
      <c r="B9" s="127" t="s">
        <v>44</v>
      </c>
      <c r="C9" s="127" t="s">
        <v>76</v>
      </c>
      <c r="D9" s="127" t="s">
        <v>69</v>
      </c>
      <c r="E9" s="127">
        <v>1406</v>
      </c>
    </row>
    <row r="10" spans="1:5" x14ac:dyDescent="0.2">
      <c r="A10" s="127" t="s">
        <v>179</v>
      </c>
      <c r="B10" s="127" t="s">
        <v>44</v>
      </c>
      <c r="C10" s="127" t="s">
        <v>76</v>
      </c>
      <c r="D10" s="127" t="s">
        <v>70</v>
      </c>
      <c r="E10" s="127">
        <v>1406</v>
      </c>
    </row>
    <row r="11" spans="1:5" x14ac:dyDescent="0.2">
      <c r="A11" s="127" t="s">
        <v>180</v>
      </c>
      <c r="B11" s="127" t="s">
        <v>44</v>
      </c>
      <c r="C11" s="127" t="s">
        <v>76</v>
      </c>
      <c r="D11" s="127" t="s">
        <v>71</v>
      </c>
      <c r="E11" s="127">
        <v>1406</v>
      </c>
    </row>
    <row r="12" spans="1:5" x14ac:dyDescent="0.2">
      <c r="A12" s="127" t="s">
        <v>181</v>
      </c>
      <c r="B12" s="127" t="s">
        <v>44</v>
      </c>
      <c r="C12" s="127" t="s">
        <v>77</v>
      </c>
      <c r="D12" s="127" t="s">
        <v>68</v>
      </c>
      <c r="E12" s="127">
        <v>1407</v>
      </c>
    </row>
    <row r="13" spans="1:5" x14ac:dyDescent="0.2">
      <c r="A13" s="127" t="s">
        <v>182</v>
      </c>
      <c r="B13" s="127" t="s">
        <v>44</v>
      </c>
      <c r="C13" s="127" t="s">
        <v>77</v>
      </c>
      <c r="D13" s="127" t="s">
        <v>69</v>
      </c>
      <c r="E13" s="127">
        <v>1407</v>
      </c>
    </row>
    <row r="14" spans="1:5" x14ac:dyDescent="0.2">
      <c r="A14" s="127" t="s">
        <v>183</v>
      </c>
      <c r="B14" s="127" t="s">
        <v>44</v>
      </c>
      <c r="C14" s="127" t="s">
        <v>77</v>
      </c>
      <c r="D14" s="127" t="s">
        <v>70</v>
      </c>
      <c r="E14" s="127">
        <v>1407</v>
      </c>
    </row>
    <row r="15" spans="1:5" x14ac:dyDescent="0.2">
      <c r="A15" s="127" t="s">
        <v>184</v>
      </c>
      <c r="B15" s="127" t="s">
        <v>44</v>
      </c>
      <c r="C15" s="127" t="s">
        <v>77</v>
      </c>
      <c r="D15" s="127" t="s">
        <v>71</v>
      </c>
      <c r="E15" s="127">
        <v>1407</v>
      </c>
    </row>
    <row r="16" spans="1:5" x14ac:dyDescent="0.2">
      <c r="A16" s="127" t="s">
        <v>185</v>
      </c>
      <c r="B16" s="127" t="s">
        <v>44</v>
      </c>
      <c r="C16" s="127" t="s">
        <v>78</v>
      </c>
      <c r="D16" s="127" t="s">
        <v>68</v>
      </c>
      <c r="E16" s="127">
        <v>1408</v>
      </c>
    </row>
    <row r="17" spans="1:5" x14ac:dyDescent="0.2">
      <c r="A17" s="127" t="s">
        <v>186</v>
      </c>
      <c r="B17" s="127" t="s">
        <v>44</v>
      </c>
      <c r="C17" s="127" t="s">
        <v>78</v>
      </c>
      <c r="D17" s="127" t="s">
        <v>69</v>
      </c>
      <c r="E17" s="127">
        <v>1408</v>
      </c>
    </row>
    <row r="18" spans="1:5" x14ac:dyDescent="0.2">
      <c r="A18" s="127" t="s">
        <v>187</v>
      </c>
      <c r="B18" s="127" t="s">
        <v>44</v>
      </c>
      <c r="C18" s="127" t="s">
        <v>78</v>
      </c>
      <c r="D18" s="127" t="s">
        <v>70</v>
      </c>
      <c r="E18" s="127">
        <v>1408</v>
      </c>
    </row>
    <row r="19" spans="1:5" x14ac:dyDescent="0.2">
      <c r="A19" s="127" t="s">
        <v>188</v>
      </c>
      <c r="B19" s="127" t="s">
        <v>44</v>
      </c>
      <c r="C19" s="127" t="s">
        <v>78</v>
      </c>
      <c r="D19" s="127" t="s">
        <v>71</v>
      </c>
      <c r="E19" s="127">
        <v>1408</v>
      </c>
    </row>
    <row r="20" spans="1:5" x14ac:dyDescent="0.2">
      <c r="A20" s="127" t="s">
        <v>189</v>
      </c>
      <c r="B20" s="127" t="s">
        <v>44</v>
      </c>
      <c r="C20" s="127" t="s">
        <v>79</v>
      </c>
      <c r="D20" s="127" t="s">
        <v>68</v>
      </c>
      <c r="E20" s="127">
        <v>1409</v>
      </c>
    </row>
    <row r="21" spans="1:5" x14ac:dyDescent="0.2">
      <c r="A21" s="127" t="s">
        <v>190</v>
      </c>
      <c r="B21" s="127" t="s">
        <v>44</v>
      </c>
      <c r="C21" s="127" t="s">
        <v>79</v>
      </c>
      <c r="D21" s="127" t="s">
        <v>69</v>
      </c>
      <c r="E21" s="127">
        <v>1409</v>
      </c>
    </row>
    <row r="22" spans="1:5" x14ac:dyDescent="0.2">
      <c r="A22" s="127" t="s">
        <v>191</v>
      </c>
      <c r="B22" s="127" t="s">
        <v>44</v>
      </c>
      <c r="C22" s="127" t="s">
        <v>79</v>
      </c>
      <c r="D22" s="127" t="s">
        <v>70</v>
      </c>
      <c r="E22" s="127">
        <v>1409</v>
      </c>
    </row>
    <row r="23" spans="1:5" x14ac:dyDescent="0.2">
      <c r="A23" s="127" t="s">
        <v>192</v>
      </c>
      <c r="B23" s="127" t="s">
        <v>44</v>
      </c>
      <c r="C23" s="127" t="s">
        <v>79</v>
      </c>
      <c r="D23" s="127" t="s">
        <v>71</v>
      </c>
      <c r="E23" s="127">
        <v>1409</v>
      </c>
    </row>
    <row r="24" spans="1:5" x14ac:dyDescent="0.2">
      <c r="A24" s="127" t="s">
        <v>193</v>
      </c>
      <c r="B24" s="127" t="s">
        <v>44</v>
      </c>
      <c r="C24" s="127" t="s">
        <v>80</v>
      </c>
      <c r="D24" s="127" t="s">
        <v>53</v>
      </c>
      <c r="E24" s="127">
        <v>1397</v>
      </c>
    </row>
    <row r="25" spans="1:5" x14ac:dyDescent="0.2">
      <c r="A25" s="127" t="s">
        <v>194</v>
      </c>
      <c r="B25" s="127" t="s">
        <v>44</v>
      </c>
      <c r="C25" s="127" t="s">
        <v>80</v>
      </c>
      <c r="D25" s="127" t="s">
        <v>54</v>
      </c>
      <c r="E25" s="127">
        <v>1397</v>
      </c>
    </row>
    <row r="26" spans="1:5" x14ac:dyDescent="0.2">
      <c r="A26" s="127" t="s">
        <v>195</v>
      </c>
      <c r="B26" s="127" t="s">
        <v>44</v>
      </c>
      <c r="C26" s="127" t="s">
        <v>80</v>
      </c>
      <c r="D26" s="127" t="s">
        <v>55</v>
      </c>
      <c r="E26" s="127">
        <v>1397</v>
      </c>
    </row>
    <row r="27" spans="1:5" x14ac:dyDescent="0.2">
      <c r="A27" s="127" t="s">
        <v>196</v>
      </c>
      <c r="B27" s="127" t="s">
        <v>44</v>
      </c>
      <c r="C27" s="127" t="s">
        <v>80</v>
      </c>
      <c r="D27" s="127" t="s">
        <v>56</v>
      </c>
      <c r="E27" s="127">
        <v>1397</v>
      </c>
    </row>
    <row r="28" spans="1:5" x14ac:dyDescent="0.2">
      <c r="A28" s="127" t="s">
        <v>197</v>
      </c>
      <c r="B28" s="127" t="s">
        <v>44</v>
      </c>
      <c r="C28" s="127" t="s">
        <v>80</v>
      </c>
      <c r="D28" s="127" t="s">
        <v>59</v>
      </c>
      <c r="E28" s="127">
        <v>1397</v>
      </c>
    </row>
    <row r="29" spans="1:5" x14ac:dyDescent="0.2">
      <c r="A29" s="127" t="s">
        <v>198</v>
      </c>
      <c r="B29" s="127" t="s">
        <v>44</v>
      </c>
      <c r="C29" s="127" t="s">
        <v>80</v>
      </c>
      <c r="D29" s="127" t="s">
        <v>58</v>
      </c>
      <c r="E29" s="127">
        <v>1397</v>
      </c>
    </row>
    <row r="30" spans="1:5" x14ac:dyDescent="0.2">
      <c r="A30" s="127" t="s">
        <v>199</v>
      </c>
      <c r="B30" s="127" t="s">
        <v>44</v>
      </c>
      <c r="C30" s="127" t="s">
        <v>80</v>
      </c>
      <c r="D30" s="127" t="s">
        <v>57</v>
      </c>
      <c r="E30" s="127">
        <v>1397</v>
      </c>
    </row>
    <row r="31" spans="1:5" x14ac:dyDescent="0.2">
      <c r="A31" s="127" t="s">
        <v>200</v>
      </c>
      <c r="B31" s="127" t="s">
        <v>44</v>
      </c>
      <c r="C31" s="127" t="s">
        <v>80</v>
      </c>
      <c r="D31" s="127" t="s">
        <v>60</v>
      </c>
      <c r="E31" s="127">
        <v>1397</v>
      </c>
    </row>
    <row r="32" spans="1:5" x14ac:dyDescent="0.2">
      <c r="A32" s="127" t="s">
        <v>201</v>
      </c>
      <c r="B32" s="127" t="s">
        <v>44</v>
      </c>
      <c r="C32" s="127" t="s">
        <v>80</v>
      </c>
      <c r="D32" s="127" t="s">
        <v>61</v>
      </c>
      <c r="E32" s="127">
        <v>1397</v>
      </c>
    </row>
    <row r="33" spans="1:5" x14ac:dyDescent="0.2">
      <c r="A33" s="127" t="s">
        <v>202</v>
      </c>
      <c r="B33" s="127" t="s">
        <v>44</v>
      </c>
      <c r="C33" s="127" t="s">
        <v>80</v>
      </c>
      <c r="D33" s="127" t="s">
        <v>62</v>
      </c>
      <c r="E33" s="127">
        <v>1397</v>
      </c>
    </row>
    <row r="34" spans="1:5" x14ac:dyDescent="0.2">
      <c r="A34" s="127" t="s">
        <v>203</v>
      </c>
      <c r="B34" s="127" t="s">
        <v>44</v>
      </c>
      <c r="C34" s="127" t="s">
        <v>80</v>
      </c>
      <c r="D34" s="127" t="s">
        <v>63</v>
      </c>
      <c r="E34" s="127">
        <v>1397</v>
      </c>
    </row>
    <row r="35" spans="1:5" x14ac:dyDescent="0.2">
      <c r="A35" s="127" t="s">
        <v>204</v>
      </c>
      <c r="B35" s="127" t="s">
        <v>44</v>
      </c>
      <c r="C35" s="127" t="s">
        <v>80</v>
      </c>
      <c r="D35" s="127" t="s">
        <v>64</v>
      </c>
      <c r="E35" s="127">
        <v>1397</v>
      </c>
    </row>
    <row r="36" spans="1:5" x14ac:dyDescent="0.2">
      <c r="A36" s="127" t="s">
        <v>205</v>
      </c>
      <c r="B36" s="127" t="s">
        <v>44</v>
      </c>
      <c r="C36" s="127" t="s">
        <v>80</v>
      </c>
      <c r="D36" s="127" t="s">
        <v>65</v>
      </c>
      <c r="E36" s="127">
        <v>1397</v>
      </c>
    </row>
    <row r="37" spans="1:5" x14ac:dyDescent="0.2">
      <c r="A37" s="127" t="s">
        <v>206</v>
      </c>
      <c r="B37" s="127" t="s">
        <v>44</v>
      </c>
      <c r="C37" s="127" t="s">
        <v>80</v>
      </c>
      <c r="D37" s="127" t="s">
        <v>66</v>
      </c>
      <c r="E37" s="127">
        <v>1397</v>
      </c>
    </row>
    <row r="38" spans="1:5" x14ac:dyDescent="0.2">
      <c r="A38" s="127" t="s">
        <v>207</v>
      </c>
      <c r="B38" s="127" t="s">
        <v>42</v>
      </c>
      <c r="C38" s="127" t="s">
        <v>103</v>
      </c>
      <c r="D38" s="127" t="s">
        <v>103</v>
      </c>
      <c r="E38" s="127">
        <v>1398</v>
      </c>
    </row>
    <row r="39" spans="1:5" x14ac:dyDescent="0.2">
      <c r="A39" s="127" t="s">
        <v>208</v>
      </c>
      <c r="B39" s="127" t="s">
        <v>42</v>
      </c>
      <c r="C39" s="127" t="s">
        <v>98</v>
      </c>
      <c r="D39" s="127" t="s">
        <v>98</v>
      </c>
      <c r="E39" s="127">
        <v>1399</v>
      </c>
    </row>
    <row r="40" spans="1:5" x14ac:dyDescent="0.2">
      <c r="A40" s="127" t="s">
        <v>209</v>
      </c>
      <c r="B40" s="127" t="s">
        <v>42</v>
      </c>
      <c r="C40" s="127" t="s">
        <v>104</v>
      </c>
      <c r="D40" s="127" t="s">
        <v>105</v>
      </c>
      <c r="E40" s="127">
        <v>1400</v>
      </c>
    </row>
    <row r="41" spans="1:5" x14ac:dyDescent="0.2">
      <c r="A41" s="127" t="s">
        <v>210</v>
      </c>
      <c r="B41" s="127" t="s">
        <v>42</v>
      </c>
      <c r="C41" s="127" t="s">
        <v>104</v>
      </c>
      <c r="D41" s="127" t="s">
        <v>106</v>
      </c>
      <c r="E41" s="127">
        <v>1400</v>
      </c>
    </row>
    <row r="42" spans="1:5" x14ac:dyDescent="0.2">
      <c r="A42" s="127" t="s">
        <v>211</v>
      </c>
      <c r="B42" s="127" t="s">
        <v>42</v>
      </c>
      <c r="C42" s="127" t="s">
        <v>100</v>
      </c>
      <c r="D42" s="127" t="s">
        <v>108</v>
      </c>
      <c r="E42" s="127">
        <v>1401</v>
      </c>
    </row>
    <row r="43" spans="1:5" x14ac:dyDescent="0.2">
      <c r="A43" s="127" t="s">
        <v>212</v>
      </c>
      <c r="B43" s="127" t="s">
        <v>42</v>
      </c>
      <c r="C43" s="127" t="s">
        <v>100</v>
      </c>
      <c r="D43" s="127" t="s">
        <v>101</v>
      </c>
      <c r="E43" s="127">
        <v>1401</v>
      </c>
    </row>
    <row r="44" spans="1:5" x14ac:dyDescent="0.2">
      <c r="A44" s="127" t="s">
        <v>213</v>
      </c>
      <c r="B44" s="127" t="s">
        <v>42</v>
      </c>
      <c r="C44" s="127" t="s">
        <v>107</v>
      </c>
      <c r="D44" s="127" t="s">
        <v>107</v>
      </c>
      <c r="E44" s="127">
        <v>1392</v>
      </c>
    </row>
    <row r="45" spans="1:5" x14ac:dyDescent="0.2">
      <c r="A45" s="127" t="s">
        <v>214</v>
      </c>
      <c r="B45" s="127" t="s">
        <v>42</v>
      </c>
      <c r="C45" s="127" t="s">
        <v>109</v>
      </c>
      <c r="D45" s="127" t="s">
        <v>109</v>
      </c>
      <c r="E45" s="127">
        <v>1393</v>
      </c>
    </row>
    <row r="46" spans="1:5" x14ac:dyDescent="0.2">
      <c r="A46" s="127" t="s">
        <v>215</v>
      </c>
      <c r="B46" s="127" t="s">
        <v>42</v>
      </c>
      <c r="C46" s="127" t="s">
        <v>110</v>
      </c>
      <c r="D46" s="127" t="s">
        <v>110</v>
      </c>
      <c r="E46" s="127">
        <v>1392</v>
      </c>
    </row>
    <row r="47" spans="1:5" x14ac:dyDescent="0.2">
      <c r="A47" s="127" t="s">
        <v>216</v>
      </c>
      <c r="B47" s="127" t="s">
        <v>42</v>
      </c>
      <c r="C47" s="127" t="s">
        <v>99</v>
      </c>
      <c r="D47" s="127" t="s">
        <v>99</v>
      </c>
      <c r="E47" s="127">
        <v>1393</v>
      </c>
    </row>
    <row r="48" spans="1:5" x14ac:dyDescent="0.2">
      <c r="A48" s="127" t="s">
        <v>217</v>
      </c>
      <c r="B48" s="127" t="s">
        <v>42</v>
      </c>
      <c r="C48" s="127" t="s">
        <v>111</v>
      </c>
      <c r="D48" s="127" t="s">
        <v>111</v>
      </c>
      <c r="E48" s="127">
        <v>1394</v>
      </c>
    </row>
    <row r="49" spans="1:5" x14ac:dyDescent="0.2">
      <c r="A49" s="127" t="s">
        <v>218</v>
      </c>
      <c r="B49" s="127" t="s">
        <v>42</v>
      </c>
      <c r="C49" s="127" t="s">
        <v>112</v>
      </c>
      <c r="D49" s="127" t="s">
        <v>112</v>
      </c>
      <c r="E49" s="127">
        <v>1395</v>
      </c>
    </row>
    <row r="50" spans="1:5" x14ac:dyDescent="0.2">
      <c r="A50" s="127" t="s">
        <v>219</v>
      </c>
      <c r="B50" s="127" t="s">
        <v>42</v>
      </c>
      <c r="C50" s="127" t="s">
        <v>113</v>
      </c>
      <c r="D50" s="127" t="s">
        <v>113</v>
      </c>
      <c r="E50" s="127">
        <v>1402</v>
      </c>
    </row>
    <row r="51" spans="1:5" x14ac:dyDescent="0.2">
      <c r="A51" s="127" t="s">
        <v>220</v>
      </c>
      <c r="B51" s="127" t="s">
        <v>42</v>
      </c>
      <c r="C51" s="127" t="s">
        <v>114</v>
      </c>
      <c r="D51" s="127" t="s">
        <v>114</v>
      </c>
      <c r="E51" s="127">
        <v>1403</v>
      </c>
    </row>
    <row r="52" spans="1:5" x14ac:dyDescent="0.2">
      <c r="A52" s="127" t="s">
        <v>221</v>
      </c>
      <c r="B52" s="127" t="s">
        <v>43</v>
      </c>
      <c r="C52" s="127" t="s">
        <v>75</v>
      </c>
      <c r="D52" s="127" t="s">
        <v>72</v>
      </c>
      <c r="E52" s="127">
        <v>1396</v>
      </c>
    </row>
    <row r="53" spans="1:5" x14ac:dyDescent="0.2">
      <c r="A53" s="127" t="s">
        <v>222</v>
      </c>
      <c r="B53" s="127" t="s">
        <v>43</v>
      </c>
      <c r="C53" s="127" t="s">
        <v>75</v>
      </c>
      <c r="D53" s="127" t="s">
        <v>73</v>
      </c>
      <c r="E53" s="127">
        <v>1396</v>
      </c>
    </row>
    <row r="54" spans="1:5" x14ac:dyDescent="0.2">
      <c r="A54" s="127" t="s">
        <v>223</v>
      </c>
      <c r="B54" s="127" t="s">
        <v>43</v>
      </c>
      <c r="C54" s="127" t="s">
        <v>75</v>
      </c>
      <c r="D54" s="127" t="s">
        <v>74</v>
      </c>
      <c r="E54" s="127">
        <v>1396</v>
      </c>
    </row>
    <row r="55" spans="1:5" x14ac:dyDescent="0.2">
      <c r="A55" s="127" t="s">
        <v>224</v>
      </c>
      <c r="B55" s="127" t="s">
        <v>45</v>
      </c>
      <c r="C55" s="127" t="s">
        <v>92</v>
      </c>
      <c r="D55" s="127" t="s">
        <v>88</v>
      </c>
      <c r="E55" s="127">
        <v>1391</v>
      </c>
    </row>
    <row r="56" spans="1:5" x14ac:dyDescent="0.2">
      <c r="A56" s="127" t="s">
        <v>225</v>
      </c>
      <c r="B56" s="127" t="s">
        <v>45</v>
      </c>
      <c r="C56" s="127" t="s">
        <v>92</v>
      </c>
      <c r="D56" s="127" t="s">
        <v>49</v>
      </c>
      <c r="E56" s="127">
        <v>1391</v>
      </c>
    </row>
    <row r="57" spans="1:5" x14ac:dyDescent="0.2">
      <c r="A57" s="127" t="s">
        <v>226</v>
      </c>
      <c r="B57" s="127" t="s">
        <v>45</v>
      </c>
      <c r="C57" s="127" t="s">
        <v>92</v>
      </c>
      <c r="D57" s="127" t="s">
        <v>50</v>
      </c>
      <c r="E57" s="127">
        <v>1391</v>
      </c>
    </row>
    <row r="58" spans="1:5" x14ac:dyDescent="0.2">
      <c r="A58" s="127" t="s">
        <v>227</v>
      </c>
      <c r="B58" s="127" t="s">
        <v>45</v>
      </c>
      <c r="C58" s="127" t="s">
        <v>92</v>
      </c>
      <c r="D58" s="127" t="s">
        <v>51</v>
      </c>
      <c r="E58" s="127">
        <v>1391</v>
      </c>
    </row>
  </sheetData>
  <autoFilter ref="A1:E58" xr:uid="{D117F78A-456F-4E37-9A21-B6B1359F6C58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EEEE-1BBE-400E-8452-92C9605F7A50}">
  <sheetPr codeName="Sheet7"/>
  <dimension ref="B2:H10"/>
  <sheetViews>
    <sheetView workbookViewId="0"/>
  </sheetViews>
  <sheetFormatPr defaultRowHeight="12.75" x14ac:dyDescent="0.2"/>
  <cols>
    <col min="4" max="4" width="31.140625" bestFit="1" customWidth="1"/>
    <col min="5" max="5" width="44.5703125" bestFit="1" customWidth="1"/>
    <col min="7" max="7" width="17.7109375" bestFit="1" customWidth="1"/>
  </cols>
  <sheetData>
    <row r="2" spans="2:8" x14ac:dyDescent="0.2">
      <c r="C2" s="120"/>
      <c r="G2" s="120" t="s">
        <v>233</v>
      </c>
      <c r="H2" s="120" t="s">
        <v>234</v>
      </c>
    </row>
    <row r="3" spans="2:8" x14ac:dyDescent="0.2">
      <c r="B3" t="s">
        <v>171</v>
      </c>
      <c r="C3" t="s">
        <v>42</v>
      </c>
      <c r="D3" t="s">
        <v>97</v>
      </c>
      <c r="E3" t="s">
        <v>157</v>
      </c>
      <c r="F3">
        <v>1404</v>
      </c>
      <c r="G3">
        <f>200*15+6511</f>
        <v>9511</v>
      </c>
      <c r="H3">
        <f>((G3-6511)/200)*0.133+0.64</f>
        <v>2.6350000000000002</v>
      </c>
    </row>
    <row r="4" spans="2:8" x14ac:dyDescent="0.2">
      <c r="B4" t="s">
        <v>172</v>
      </c>
      <c r="C4" t="s">
        <v>42</v>
      </c>
      <c r="D4" t="s">
        <v>97</v>
      </c>
      <c r="E4" t="s">
        <v>156</v>
      </c>
      <c r="F4">
        <v>1404</v>
      </c>
      <c r="G4">
        <f>200*28+6511</f>
        <v>12111</v>
      </c>
      <c r="H4">
        <f t="shared" ref="H4:H5" si="0">((G4-6511)/200)*0.133+0.64</f>
        <v>4.3639999999999999</v>
      </c>
    </row>
    <row r="5" spans="2:8" x14ac:dyDescent="0.2">
      <c r="B5" t="s">
        <v>173</v>
      </c>
      <c r="C5" t="s">
        <v>42</v>
      </c>
      <c r="D5" t="s">
        <v>97</v>
      </c>
      <c r="E5" t="s">
        <v>155</v>
      </c>
      <c r="F5">
        <v>1404</v>
      </c>
      <c r="G5">
        <f>200*29+6511</f>
        <v>12311</v>
      </c>
      <c r="H5">
        <f t="shared" si="0"/>
        <v>4.4969999999999999</v>
      </c>
    </row>
    <row r="6" spans="2:8" x14ac:dyDescent="0.2">
      <c r="B6" t="s">
        <v>207</v>
      </c>
      <c r="C6" t="s">
        <v>42</v>
      </c>
      <c r="D6" t="s">
        <v>103</v>
      </c>
      <c r="E6" t="s">
        <v>103</v>
      </c>
      <c r="F6">
        <v>1398</v>
      </c>
      <c r="G6">
        <v>12000</v>
      </c>
      <c r="H6">
        <v>1.6</v>
      </c>
    </row>
    <row r="7" spans="2:8" x14ac:dyDescent="0.2">
      <c r="B7" t="s">
        <v>213</v>
      </c>
      <c r="C7" t="s">
        <v>42</v>
      </c>
      <c r="D7" t="s">
        <v>107</v>
      </c>
      <c r="E7" t="s">
        <v>107</v>
      </c>
      <c r="F7">
        <v>1392</v>
      </c>
      <c r="G7">
        <v>9000</v>
      </c>
      <c r="H7">
        <v>0.8</v>
      </c>
    </row>
    <row r="8" spans="2:8" x14ac:dyDescent="0.2">
      <c r="B8" t="s">
        <v>215</v>
      </c>
      <c r="C8" t="s">
        <v>42</v>
      </c>
      <c r="D8" t="s">
        <v>110</v>
      </c>
      <c r="E8" t="s">
        <v>110</v>
      </c>
      <c r="F8">
        <v>1392</v>
      </c>
      <c r="G8">
        <v>12000</v>
      </c>
      <c r="H8">
        <v>1.1000000000000001</v>
      </c>
    </row>
    <row r="9" spans="2:8" x14ac:dyDescent="0.2">
      <c r="B9" t="s">
        <v>217</v>
      </c>
      <c r="C9" t="s">
        <v>42</v>
      </c>
      <c r="D9" t="s">
        <v>111</v>
      </c>
      <c r="E9" t="s">
        <v>111</v>
      </c>
      <c r="F9">
        <v>1394</v>
      </c>
      <c r="G9">
        <v>2650</v>
      </c>
      <c r="H9">
        <v>0.35499999999999998</v>
      </c>
    </row>
    <row r="10" spans="2:8" x14ac:dyDescent="0.2">
      <c r="B10" t="s">
        <v>219</v>
      </c>
      <c r="C10" t="s">
        <v>42</v>
      </c>
      <c r="D10" t="s">
        <v>113</v>
      </c>
      <c r="E10" t="s">
        <v>113</v>
      </c>
      <c r="F10">
        <v>1402</v>
      </c>
      <c r="G10">
        <v>6250</v>
      </c>
      <c r="H10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O60"/>
  <sheetViews>
    <sheetView zoomScale="80" zoomScaleNormal="80" workbookViewId="0"/>
  </sheetViews>
  <sheetFormatPr defaultRowHeight="12.75" x14ac:dyDescent="0.2"/>
  <cols>
    <col min="1" max="1" width="3.140625" customWidth="1"/>
    <col min="2" max="2" width="11.140625" bestFit="1" customWidth="1"/>
    <col min="3" max="3" width="35.28515625" customWidth="1"/>
    <col min="4" max="4" width="11.7109375" customWidth="1"/>
    <col min="5" max="5" width="5.85546875" customWidth="1"/>
    <col min="6" max="6" width="36" customWidth="1"/>
    <col min="7" max="7" width="41.42578125" bestFit="1" customWidth="1"/>
    <col min="8" max="8" width="71.7109375" customWidth="1"/>
    <col min="9" max="9" width="9.140625" bestFit="1" customWidth="1"/>
    <col min="10" max="10" width="13" customWidth="1"/>
    <col min="12" max="12" width="7.7109375" bestFit="1" customWidth="1"/>
    <col min="13" max="13" width="29.7109375" bestFit="1" customWidth="1"/>
    <col min="14" max="14" width="39.5703125" bestFit="1" customWidth="1"/>
    <col min="15" max="15" width="9.28515625" bestFit="1" customWidth="1"/>
  </cols>
  <sheetData>
    <row r="2" spans="1:15" x14ac:dyDescent="0.2">
      <c r="A2" s="21"/>
      <c r="B2" s="170" t="s">
        <v>91</v>
      </c>
      <c r="C2" s="171"/>
      <c r="D2" s="171"/>
      <c r="E2" s="171"/>
      <c r="F2" s="171"/>
      <c r="G2" s="171"/>
      <c r="H2" s="171"/>
      <c r="I2" s="171"/>
      <c r="J2" s="172"/>
    </row>
    <row r="3" spans="1:15" x14ac:dyDescent="0.2">
      <c r="B3" s="20" t="s">
        <v>89</v>
      </c>
      <c r="C3" s="20" t="s">
        <v>90</v>
      </c>
      <c r="D3" s="20" t="s">
        <v>119</v>
      </c>
      <c r="E3" s="22"/>
      <c r="F3" s="20" t="s">
        <v>90</v>
      </c>
      <c r="G3" s="20" t="s">
        <v>46</v>
      </c>
      <c r="H3" s="20" t="s">
        <v>123</v>
      </c>
      <c r="I3" s="20" t="s">
        <v>47</v>
      </c>
      <c r="J3" s="20" t="s">
        <v>48</v>
      </c>
      <c r="L3" s="169" t="s">
        <v>95</v>
      </c>
      <c r="M3" s="169"/>
      <c r="N3" s="169"/>
      <c r="O3" s="169"/>
    </row>
    <row r="4" spans="1:15" x14ac:dyDescent="0.2">
      <c r="B4" s="30" t="s">
        <v>42</v>
      </c>
      <c r="C4" s="31" t="s">
        <v>97</v>
      </c>
      <c r="D4" s="31">
        <v>1404</v>
      </c>
      <c r="E4" s="23"/>
      <c r="F4" s="96" t="s">
        <v>97</v>
      </c>
      <c r="G4" s="31" t="s">
        <v>157</v>
      </c>
      <c r="H4" s="31" t="str">
        <f>C4&amp;G4</f>
        <v>Combination Oven Steamer ElectricCombination Oven Steamer Electric - &lt;15 Pans</v>
      </c>
      <c r="I4" s="41">
        <v>1000</v>
      </c>
      <c r="J4" s="31" t="s">
        <v>81</v>
      </c>
      <c r="K4" s="119"/>
      <c r="L4" s="65" t="s">
        <v>42</v>
      </c>
      <c r="M4" s="66" t="s">
        <v>98</v>
      </c>
      <c r="N4" s="66" t="s">
        <v>98</v>
      </c>
      <c r="O4" s="68" t="str">
        <f>VLOOKUP(N4,G4:J56,2,0)</f>
        <v>Convection Oven Natural GasConvection Oven Natural Gas</v>
      </c>
    </row>
    <row r="5" spans="1:15" x14ac:dyDescent="0.2">
      <c r="B5" s="30" t="s">
        <v>42</v>
      </c>
      <c r="C5" s="31" t="s">
        <v>102</v>
      </c>
      <c r="D5" s="31">
        <v>1405</v>
      </c>
      <c r="E5" s="23"/>
      <c r="F5" s="97" t="s">
        <v>97</v>
      </c>
      <c r="G5" s="31" t="s">
        <v>156</v>
      </c>
      <c r="H5" s="31" t="str">
        <f>C4&amp;G5</f>
        <v>Combination Oven Steamer ElectricCombination Oven Steamer Electric - 15 to 28 pans</v>
      </c>
      <c r="I5" s="41">
        <v>1000</v>
      </c>
      <c r="J5" s="31" t="s">
        <v>81</v>
      </c>
      <c r="K5" s="119"/>
    </row>
    <row r="6" spans="1:15" x14ac:dyDescent="0.2">
      <c r="B6" s="30" t="s">
        <v>42</v>
      </c>
      <c r="C6" s="31" t="s">
        <v>103</v>
      </c>
      <c r="D6" s="31">
        <v>1398</v>
      </c>
      <c r="E6" s="23"/>
      <c r="F6" s="98" t="s">
        <v>97</v>
      </c>
      <c r="G6" s="31" t="s">
        <v>155</v>
      </c>
      <c r="H6" s="31" t="str">
        <f>C4&amp;G6</f>
        <v>Combination Oven Steamer ElectricCombination Oven Steamer Electric - &gt;28 Pans</v>
      </c>
      <c r="I6" s="41">
        <v>1000</v>
      </c>
      <c r="J6" s="31" t="s">
        <v>81</v>
      </c>
      <c r="K6" s="119"/>
    </row>
    <row r="7" spans="1:15" x14ac:dyDescent="0.2">
      <c r="B7" s="30" t="s">
        <v>42</v>
      </c>
      <c r="C7" s="31" t="s">
        <v>98</v>
      </c>
      <c r="D7" s="31">
        <v>1399</v>
      </c>
      <c r="E7" s="23"/>
      <c r="F7" s="96" t="s">
        <v>102</v>
      </c>
      <c r="G7" s="31" t="s">
        <v>158</v>
      </c>
      <c r="H7" s="31" t="str">
        <f>C5&amp;G7</f>
        <v>Combination Oven Steamer Natural GasCombination Oven Steamer Natural Gas - &lt;15 Pans</v>
      </c>
      <c r="I7" s="41">
        <v>750</v>
      </c>
      <c r="J7" s="31" t="s">
        <v>81</v>
      </c>
      <c r="K7" s="119"/>
    </row>
    <row r="8" spans="1:15" x14ac:dyDescent="0.2">
      <c r="A8" s="21"/>
      <c r="B8" s="30" t="s">
        <v>42</v>
      </c>
      <c r="C8" s="32" t="s">
        <v>104</v>
      </c>
      <c r="D8" s="72">
        <v>1400</v>
      </c>
      <c r="E8" s="24"/>
      <c r="F8" s="97" t="s">
        <v>102</v>
      </c>
      <c r="G8" s="31" t="s">
        <v>168</v>
      </c>
      <c r="H8" s="31" t="str">
        <f>C5&amp;G8</f>
        <v>Combination Oven Steamer Natural GasCombination Oven Steamer Natural Gas - 15 to 28 pans</v>
      </c>
      <c r="I8" s="41">
        <v>750</v>
      </c>
      <c r="J8" s="31" t="s">
        <v>81</v>
      </c>
      <c r="K8" s="119"/>
      <c r="L8" s="65" t="s">
        <v>44</v>
      </c>
      <c r="M8" s="66" t="s">
        <v>78</v>
      </c>
      <c r="N8" s="66" t="s">
        <v>69</v>
      </c>
      <c r="O8" s="68" t="str">
        <f>VLOOKUP(N8,G8:J60,2,0)</f>
        <v>Glass Door RefrigeratorsEnergy Star - Internal Volume 15-29.9 CF</v>
      </c>
    </row>
    <row r="9" spans="1:15" x14ac:dyDescent="0.2">
      <c r="B9" s="30" t="s">
        <v>42</v>
      </c>
      <c r="C9" s="32" t="s">
        <v>100</v>
      </c>
      <c r="D9" s="73">
        <v>1401</v>
      </c>
      <c r="E9" s="25"/>
      <c r="F9" s="98" t="s">
        <v>102</v>
      </c>
      <c r="G9" s="31" t="s">
        <v>160</v>
      </c>
      <c r="H9" s="31" t="str">
        <f>C5&amp;G9</f>
        <v>Combination Oven Steamer Natural GasCombination Oven Steamer Natural Gas - &gt;28 Pans</v>
      </c>
      <c r="I9" s="41">
        <v>750</v>
      </c>
      <c r="J9" s="31" t="s">
        <v>81</v>
      </c>
      <c r="K9" s="119"/>
    </row>
    <row r="10" spans="1:15" x14ac:dyDescent="0.2">
      <c r="B10" s="30" t="s">
        <v>42</v>
      </c>
      <c r="C10" s="31" t="s">
        <v>107</v>
      </c>
      <c r="D10" s="74">
        <v>1392</v>
      </c>
      <c r="E10" s="24"/>
      <c r="F10" s="31" t="s">
        <v>103</v>
      </c>
      <c r="G10" s="31" t="s">
        <v>103</v>
      </c>
      <c r="H10" s="31" t="str">
        <f>C6&amp;Convection_Oven_Electric</f>
        <v>Convection Oven ElectricConvection Oven Electric</v>
      </c>
      <c r="I10" s="41">
        <v>350</v>
      </c>
      <c r="J10" s="31" t="s">
        <v>81</v>
      </c>
    </row>
    <row r="11" spans="1:15" x14ac:dyDescent="0.2">
      <c r="B11" s="30" t="s">
        <v>42</v>
      </c>
      <c r="C11" s="31" t="s">
        <v>109</v>
      </c>
      <c r="D11" s="75">
        <v>1393</v>
      </c>
      <c r="E11" s="25"/>
      <c r="F11" s="31" t="s">
        <v>98</v>
      </c>
      <c r="G11" s="31" t="s">
        <v>98</v>
      </c>
      <c r="H11" s="31" t="str">
        <f>C7&amp;Convection_Oven_Natural_Gas</f>
        <v>Convection Oven Natural GasConvection Oven Natural Gas</v>
      </c>
      <c r="I11" s="41">
        <v>500</v>
      </c>
      <c r="J11" s="31" t="s">
        <v>81</v>
      </c>
    </row>
    <row r="12" spans="1:15" x14ac:dyDescent="0.2">
      <c r="B12" s="30" t="s">
        <v>42</v>
      </c>
      <c r="C12" s="31" t="s">
        <v>110</v>
      </c>
      <c r="D12" s="31">
        <v>1392</v>
      </c>
      <c r="E12" s="23"/>
      <c r="F12" s="32" t="s">
        <v>104</v>
      </c>
      <c r="G12" s="32" t="s">
        <v>105</v>
      </c>
      <c r="H12" s="32" t="str">
        <f>C8&amp;G12</f>
        <v>Rack Oven Natural GasRack Oven Single Natural Gas</v>
      </c>
      <c r="I12" s="41">
        <v>1000</v>
      </c>
      <c r="J12" s="32" t="s">
        <v>82</v>
      </c>
    </row>
    <row r="13" spans="1:15" x14ac:dyDescent="0.2">
      <c r="B13" s="30" t="s">
        <v>42</v>
      </c>
      <c r="C13" s="31" t="s">
        <v>99</v>
      </c>
      <c r="D13" s="31">
        <v>1393</v>
      </c>
      <c r="E13" s="23"/>
      <c r="F13" s="63" t="s">
        <v>104</v>
      </c>
      <c r="G13" s="63" t="s">
        <v>106</v>
      </c>
      <c r="H13" s="63" t="str">
        <f>C8&amp;G13</f>
        <v>Rack Oven Natural GasRack Oven Double Natural Gas</v>
      </c>
      <c r="I13" s="41">
        <v>2000</v>
      </c>
      <c r="J13" s="32" t="s">
        <v>83</v>
      </c>
    </row>
    <row r="14" spans="1:15" x14ac:dyDescent="0.2">
      <c r="B14" s="30" t="s">
        <v>42</v>
      </c>
      <c r="C14" s="31" t="s">
        <v>111</v>
      </c>
      <c r="D14" s="31">
        <v>1394</v>
      </c>
      <c r="E14" s="23"/>
      <c r="F14" s="32" t="s">
        <v>100</v>
      </c>
      <c r="G14" s="32" t="s">
        <v>108</v>
      </c>
      <c r="H14" s="32" t="str">
        <f>C9&amp;G14</f>
        <v>Conveyor Oven Natural GasConveyor Oven Small Natural Gas</v>
      </c>
      <c r="I14" s="41">
        <v>500</v>
      </c>
      <c r="J14" s="32" t="s">
        <v>84</v>
      </c>
    </row>
    <row r="15" spans="1:15" x14ac:dyDescent="0.2">
      <c r="B15" s="30" t="s">
        <v>42</v>
      </c>
      <c r="C15" s="31" t="s">
        <v>112</v>
      </c>
      <c r="D15" s="31">
        <v>1395</v>
      </c>
      <c r="E15" s="23"/>
      <c r="F15" s="63" t="s">
        <v>100</v>
      </c>
      <c r="G15" s="63" t="s">
        <v>101</v>
      </c>
      <c r="H15" s="63" t="str">
        <f>C9&amp;G15</f>
        <v>Conveyor Oven Natural GasConveyor Oven Large Natural Gas</v>
      </c>
      <c r="I15" s="41">
        <v>750</v>
      </c>
      <c r="J15" s="32" t="s">
        <v>84</v>
      </c>
    </row>
    <row r="16" spans="1:15" x14ac:dyDescent="0.2">
      <c r="B16" s="30" t="s">
        <v>42</v>
      </c>
      <c r="C16" s="31" t="s">
        <v>113</v>
      </c>
      <c r="D16" s="31">
        <v>1402</v>
      </c>
      <c r="E16" s="23"/>
      <c r="F16" s="31" t="s">
        <v>107</v>
      </c>
      <c r="G16" s="31" t="s">
        <v>107</v>
      </c>
      <c r="H16" s="31" t="str">
        <f>C10&amp;Fryer_Electric</f>
        <v>Fryer ElectricFryer Electric</v>
      </c>
      <c r="I16" s="41">
        <v>200</v>
      </c>
      <c r="J16" s="31" t="s">
        <v>85</v>
      </c>
    </row>
    <row r="17" spans="1:14" x14ac:dyDescent="0.2">
      <c r="B17" s="30" t="s">
        <v>42</v>
      </c>
      <c r="C17" s="31" t="s">
        <v>114</v>
      </c>
      <c r="D17" s="31">
        <v>1403</v>
      </c>
      <c r="E17" s="23"/>
      <c r="F17" s="31" t="s">
        <v>109</v>
      </c>
      <c r="G17" s="31" t="s">
        <v>109</v>
      </c>
      <c r="H17" s="31" t="str">
        <f>C11&amp;Fryer_Natural_Gas</f>
        <v>Fryer Natural GasFryer Natural Gas</v>
      </c>
      <c r="I17" s="41">
        <v>749</v>
      </c>
      <c r="J17" s="31" t="s">
        <v>85</v>
      </c>
    </row>
    <row r="18" spans="1:14" x14ac:dyDescent="0.2">
      <c r="B18" s="33" t="s">
        <v>43</v>
      </c>
      <c r="C18" s="34" t="s">
        <v>75</v>
      </c>
      <c r="D18" s="34">
        <v>1396</v>
      </c>
      <c r="E18" s="23"/>
      <c r="F18" s="31" t="s">
        <v>110</v>
      </c>
      <c r="G18" s="31" t="s">
        <v>110</v>
      </c>
      <c r="H18" s="31" t="str">
        <f>C12&amp;Large_Vat_Fryer_Electric</f>
        <v>Large Vat Fryer ElectricLarge Vat Fryer Electric</v>
      </c>
      <c r="I18" s="41">
        <v>200</v>
      </c>
      <c r="J18" s="31" t="s">
        <v>85</v>
      </c>
    </row>
    <row r="19" spans="1:14" x14ac:dyDescent="0.2">
      <c r="B19" s="35" t="s">
        <v>44</v>
      </c>
      <c r="C19" s="36" t="s">
        <v>76</v>
      </c>
      <c r="D19" s="36">
        <v>1406</v>
      </c>
      <c r="E19" s="23"/>
      <c r="F19" s="31" t="s">
        <v>99</v>
      </c>
      <c r="G19" s="31" t="s">
        <v>99</v>
      </c>
      <c r="H19" s="31" t="str">
        <f>C13&amp;Large_Vat_Fryer_Natural_Gas</f>
        <v>Large Vat Fryer Natural GasLarge Vat Fryer Natural Gas</v>
      </c>
      <c r="I19" s="41">
        <v>500</v>
      </c>
      <c r="J19" s="31" t="s">
        <v>85</v>
      </c>
    </row>
    <row r="20" spans="1:14" x14ac:dyDescent="0.2">
      <c r="B20" s="35" t="s">
        <v>44</v>
      </c>
      <c r="C20" s="36" t="s">
        <v>77</v>
      </c>
      <c r="D20" s="76">
        <v>1407</v>
      </c>
      <c r="E20" s="24"/>
      <c r="F20" s="31" t="s">
        <v>111</v>
      </c>
      <c r="G20" s="31" t="s">
        <v>111</v>
      </c>
      <c r="H20" s="31" t="str">
        <f>C14&amp;Griddle_Electric</f>
        <v>Griddle ElectricGriddle Electric</v>
      </c>
      <c r="I20" s="41">
        <v>300</v>
      </c>
      <c r="J20" s="31" t="s">
        <v>86</v>
      </c>
    </row>
    <row r="21" spans="1:14" x14ac:dyDescent="0.2">
      <c r="B21" s="35" t="s">
        <v>44</v>
      </c>
      <c r="C21" s="36" t="s">
        <v>78</v>
      </c>
      <c r="D21" s="77">
        <v>1408</v>
      </c>
      <c r="E21" s="26"/>
      <c r="F21" s="31" t="s">
        <v>112</v>
      </c>
      <c r="G21" s="31" t="s">
        <v>112</v>
      </c>
      <c r="H21" s="31" t="str">
        <f>C15&amp;Griddle_Natural_Gas</f>
        <v>Griddle Natural GasGriddle Natural Gas</v>
      </c>
      <c r="I21" s="41">
        <v>125</v>
      </c>
      <c r="J21" s="31" t="s">
        <v>86</v>
      </c>
    </row>
    <row r="22" spans="1:14" x14ac:dyDescent="0.2">
      <c r="B22" s="35" t="s">
        <v>44</v>
      </c>
      <c r="C22" s="36" t="s">
        <v>79</v>
      </c>
      <c r="D22" s="77">
        <v>1409</v>
      </c>
      <c r="E22" s="25"/>
      <c r="F22" s="31" t="s">
        <v>113</v>
      </c>
      <c r="G22" s="31" t="s">
        <v>113</v>
      </c>
      <c r="H22" s="31" t="str">
        <f>C16&amp;Steam_Cooker_Electric</f>
        <v>Steam Cooker ElectricSteam Cooker Electric</v>
      </c>
      <c r="I22" s="41">
        <v>1250</v>
      </c>
      <c r="J22" s="31" t="s">
        <v>87</v>
      </c>
    </row>
    <row r="23" spans="1:14" x14ac:dyDescent="0.2">
      <c r="B23" s="35" t="s">
        <v>44</v>
      </c>
      <c r="C23" s="36" t="s">
        <v>80</v>
      </c>
      <c r="D23" s="76">
        <v>1397</v>
      </c>
      <c r="E23" s="27"/>
      <c r="F23" s="31" t="s">
        <v>114</v>
      </c>
      <c r="G23" s="31" t="s">
        <v>114</v>
      </c>
      <c r="H23" s="31" t="str">
        <f>C17&amp;Steam_Cooker_Natural_Gas</f>
        <v>Steam Cooker Natural GasSteam Cooker Natural Gas</v>
      </c>
      <c r="I23" s="41">
        <v>2000</v>
      </c>
      <c r="J23" s="31" t="s">
        <v>87</v>
      </c>
      <c r="M23" s="5"/>
    </row>
    <row r="24" spans="1:14" x14ac:dyDescent="0.2">
      <c r="B24" s="37" t="s">
        <v>45</v>
      </c>
      <c r="C24" s="64" t="s">
        <v>92</v>
      </c>
      <c r="D24" s="78">
        <v>1391</v>
      </c>
      <c r="E24" s="28"/>
      <c r="F24" s="49" t="s">
        <v>75</v>
      </c>
      <c r="G24" s="49" t="s">
        <v>72</v>
      </c>
      <c r="H24" s="49" t="str">
        <f>Holding&amp;G24</f>
        <v>Insulated Holding CabinetsInsulated Holding Cabinets - Full Size</v>
      </c>
      <c r="I24" s="50">
        <v>300</v>
      </c>
      <c r="J24" s="51" t="s">
        <v>67</v>
      </c>
      <c r="M24" s="5"/>
      <c r="N24" s="5"/>
    </row>
    <row r="25" spans="1:14" x14ac:dyDescent="0.2">
      <c r="E25" s="28"/>
      <c r="F25" s="52" t="s">
        <v>75</v>
      </c>
      <c r="G25" s="52" t="s">
        <v>73</v>
      </c>
      <c r="H25" s="52" t="str">
        <f>Holding&amp;G25</f>
        <v>Insulated Holding CabinetsInsulated Holding Cabinets - 3/4 Size</v>
      </c>
      <c r="I25" s="50">
        <v>250</v>
      </c>
      <c r="J25" s="53" t="s">
        <v>67</v>
      </c>
      <c r="M25" s="5"/>
      <c r="N25" s="5"/>
    </row>
    <row r="26" spans="1:14" x14ac:dyDescent="0.2">
      <c r="E26" s="29"/>
      <c r="F26" s="54" t="s">
        <v>75</v>
      </c>
      <c r="G26" s="54" t="s">
        <v>74</v>
      </c>
      <c r="H26" s="54" t="str">
        <f>Holding&amp;G26</f>
        <v>Insulated Holding CabinetsInsulated Holding Cabinets - 1/2 Size</v>
      </c>
      <c r="I26" s="50">
        <v>200</v>
      </c>
      <c r="J26" s="55" t="s">
        <v>67</v>
      </c>
      <c r="M26" s="5"/>
      <c r="N26" s="5"/>
    </row>
    <row r="27" spans="1:14" x14ac:dyDescent="0.2">
      <c r="E27" s="27"/>
      <c r="F27" s="42" t="s">
        <v>76</v>
      </c>
      <c r="G27" s="42" t="s">
        <v>68</v>
      </c>
      <c r="H27" s="42" t="str">
        <f>$C$19&amp;G27</f>
        <v>Glass Door RefrigeratorsEnergy Star - Internal Volume &lt;15 CF</v>
      </c>
      <c r="I27" s="43">
        <v>75</v>
      </c>
      <c r="J27" s="44" t="s">
        <v>67</v>
      </c>
      <c r="M27" s="5"/>
      <c r="N27" s="5"/>
    </row>
    <row r="28" spans="1:14" x14ac:dyDescent="0.2">
      <c r="E28" s="28"/>
      <c r="F28" s="45" t="s">
        <v>76</v>
      </c>
      <c r="G28" s="45" t="s">
        <v>69</v>
      </c>
      <c r="H28" s="42" t="str">
        <f>$C$19&amp;G28</f>
        <v>Glass Door RefrigeratorsEnergy Star - Internal Volume 15-29.9 CF</v>
      </c>
      <c r="I28" s="43">
        <v>100</v>
      </c>
      <c r="J28" s="46" t="s">
        <v>67</v>
      </c>
      <c r="M28" s="5"/>
    </row>
    <row r="29" spans="1:14" x14ac:dyDescent="0.2">
      <c r="A29" s="5"/>
      <c r="C29" t="s">
        <v>159</v>
      </c>
      <c r="E29" s="28"/>
      <c r="F29" s="45" t="s">
        <v>76</v>
      </c>
      <c r="G29" s="45" t="s">
        <v>70</v>
      </c>
      <c r="H29" s="42" t="str">
        <f>$C$19&amp;G29</f>
        <v>Glass Door RefrigeratorsEnergy Star - Internal Volume 30-49.9 CF</v>
      </c>
      <c r="I29" s="43">
        <v>125</v>
      </c>
      <c r="J29" s="46" t="s">
        <v>67</v>
      </c>
    </row>
    <row r="30" spans="1:14" x14ac:dyDescent="0.2">
      <c r="A30" s="5"/>
      <c r="E30" s="29"/>
      <c r="F30" s="47" t="s">
        <v>76</v>
      </c>
      <c r="G30" s="47" t="s">
        <v>71</v>
      </c>
      <c r="H30" s="42" t="str">
        <f>$C$19&amp;G30</f>
        <v>Glass Door RefrigeratorsEnergy Star - Internal Volume &gt;50 CF</v>
      </c>
      <c r="I30" s="43">
        <v>150</v>
      </c>
      <c r="J30" s="48" t="s">
        <v>67</v>
      </c>
    </row>
    <row r="31" spans="1:14" x14ac:dyDescent="0.2">
      <c r="A31" s="5"/>
      <c r="E31" s="27"/>
      <c r="F31" s="42" t="s">
        <v>77</v>
      </c>
      <c r="G31" s="42" t="s">
        <v>68</v>
      </c>
      <c r="H31" s="42" t="str">
        <f>$C$20&amp;G31</f>
        <v>Solid Door RefrigeratorsEnergy Star - Internal Volume &lt;15 CF</v>
      </c>
      <c r="I31" s="43">
        <v>50</v>
      </c>
      <c r="J31" s="44" t="s">
        <v>67</v>
      </c>
    </row>
    <row r="32" spans="1:14" x14ac:dyDescent="0.2">
      <c r="A32" s="5"/>
      <c r="E32" s="28"/>
      <c r="F32" s="45" t="s">
        <v>77</v>
      </c>
      <c r="G32" s="45" t="s">
        <v>69</v>
      </c>
      <c r="H32" s="42" t="str">
        <f>$C$20&amp;G32</f>
        <v>Solid Door RefrigeratorsEnergy Star - Internal Volume 15-29.9 CF</v>
      </c>
      <c r="I32" s="43">
        <v>75</v>
      </c>
      <c r="J32" s="46" t="s">
        <v>67</v>
      </c>
    </row>
    <row r="33" spans="1:10" x14ac:dyDescent="0.2">
      <c r="A33" s="5"/>
      <c r="E33" s="28"/>
      <c r="F33" s="45" t="s">
        <v>77</v>
      </c>
      <c r="G33" s="45" t="s">
        <v>70</v>
      </c>
      <c r="H33" s="42" t="str">
        <f>$C$20&amp;G33</f>
        <v>Solid Door RefrigeratorsEnergy Star - Internal Volume 30-49.9 CF</v>
      </c>
      <c r="I33" s="43">
        <v>125</v>
      </c>
      <c r="J33" s="46" t="s">
        <v>67</v>
      </c>
    </row>
    <row r="34" spans="1:10" x14ac:dyDescent="0.2">
      <c r="A34" s="5"/>
      <c r="E34" s="29"/>
      <c r="F34" s="47" t="s">
        <v>77</v>
      </c>
      <c r="G34" s="47" t="s">
        <v>71</v>
      </c>
      <c r="H34" s="42" t="str">
        <f>$C$20&amp;G34</f>
        <v>Solid Door RefrigeratorsEnergy Star - Internal Volume &gt;50 CF</v>
      </c>
      <c r="I34" s="43">
        <v>200</v>
      </c>
      <c r="J34" s="48" t="s">
        <v>67</v>
      </c>
    </row>
    <row r="35" spans="1:10" x14ac:dyDescent="0.2">
      <c r="E35" s="27"/>
      <c r="F35" s="42" t="s">
        <v>78</v>
      </c>
      <c r="G35" s="42" t="s">
        <v>68</v>
      </c>
      <c r="H35" s="42" t="str">
        <f>$C$21&amp;G35</f>
        <v>Glass Door FreezersEnergy Star - Internal Volume &lt;15 CF</v>
      </c>
      <c r="I35" s="43">
        <v>200</v>
      </c>
      <c r="J35" s="44" t="s">
        <v>67</v>
      </c>
    </row>
    <row r="36" spans="1:10" x14ac:dyDescent="0.2">
      <c r="E36" s="28"/>
      <c r="F36" s="45" t="s">
        <v>78</v>
      </c>
      <c r="G36" s="45" t="s">
        <v>69</v>
      </c>
      <c r="H36" s="42" t="str">
        <f>$C$21&amp;G36</f>
        <v>Glass Door FreezersEnergy Star - Internal Volume 15-29.9 CF</v>
      </c>
      <c r="I36" s="43">
        <v>250</v>
      </c>
      <c r="J36" s="46" t="s">
        <v>67</v>
      </c>
    </row>
    <row r="37" spans="1:10" x14ac:dyDescent="0.2">
      <c r="E37" s="28"/>
      <c r="F37" s="45" t="s">
        <v>78</v>
      </c>
      <c r="G37" s="45" t="s">
        <v>70</v>
      </c>
      <c r="H37" s="42" t="str">
        <f>$C$21&amp;G37</f>
        <v>Glass Door FreezersEnergy Star - Internal Volume 30-49.9 CF</v>
      </c>
      <c r="I37" s="43">
        <v>500</v>
      </c>
      <c r="J37" s="46" t="s">
        <v>67</v>
      </c>
    </row>
    <row r="38" spans="1:10" x14ac:dyDescent="0.2">
      <c r="E38" s="29"/>
      <c r="F38" s="47" t="s">
        <v>78</v>
      </c>
      <c r="G38" s="47" t="s">
        <v>71</v>
      </c>
      <c r="H38" s="42" t="str">
        <f>$C$21&amp;G38</f>
        <v>Glass Door FreezersEnergy Star - Internal Volume &gt;50 CF</v>
      </c>
      <c r="I38" s="43">
        <v>1000</v>
      </c>
      <c r="J38" s="48" t="s">
        <v>67</v>
      </c>
    </row>
    <row r="39" spans="1:10" x14ac:dyDescent="0.2">
      <c r="E39" s="27"/>
      <c r="F39" s="42" t="s">
        <v>79</v>
      </c>
      <c r="G39" s="42" t="s">
        <v>68</v>
      </c>
      <c r="H39" s="42" t="str">
        <f>$C$22&amp;G39</f>
        <v>Solid Door FreezersEnergy Star - Internal Volume &lt;15 CF</v>
      </c>
      <c r="I39" s="43">
        <v>100</v>
      </c>
      <c r="J39" s="44" t="s">
        <v>67</v>
      </c>
    </row>
    <row r="40" spans="1:10" x14ac:dyDescent="0.2">
      <c r="E40" s="28"/>
      <c r="F40" s="45" t="s">
        <v>79</v>
      </c>
      <c r="G40" s="45" t="s">
        <v>69</v>
      </c>
      <c r="H40" s="42" t="str">
        <f>$C$22&amp;G40</f>
        <v>Solid Door FreezersEnergy Star - Internal Volume 15-29.9 CF</v>
      </c>
      <c r="I40" s="43">
        <v>150</v>
      </c>
      <c r="J40" s="46" t="s">
        <v>67</v>
      </c>
    </row>
    <row r="41" spans="1:10" x14ac:dyDescent="0.2">
      <c r="E41" s="28"/>
      <c r="F41" s="45" t="s">
        <v>79</v>
      </c>
      <c r="G41" s="45" t="s">
        <v>70</v>
      </c>
      <c r="H41" s="42" t="str">
        <f>$C$22&amp;G41</f>
        <v>Solid Door FreezersEnergy Star - Internal Volume 30-49.9 CF</v>
      </c>
      <c r="I41" s="43">
        <v>300</v>
      </c>
      <c r="J41" s="46" t="s">
        <v>67</v>
      </c>
    </row>
    <row r="42" spans="1:10" x14ac:dyDescent="0.2">
      <c r="E42" s="28"/>
      <c r="F42" s="47" t="s">
        <v>79</v>
      </c>
      <c r="G42" s="47" t="s">
        <v>71</v>
      </c>
      <c r="H42" s="42" t="str">
        <f>$C$22&amp;G42</f>
        <v>Solid Door FreezersEnergy Star - Internal Volume &gt;50 CF</v>
      </c>
      <c r="I42" s="43">
        <v>600</v>
      </c>
      <c r="J42" s="48" t="s">
        <v>67</v>
      </c>
    </row>
    <row r="43" spans="1:10" x14ac:dyDescent="0.2">
      <c r="E43" s="28"/>
      <c r="F43" s="42" t="s">
        <v>80</v>
      </c>
      <c r="G43" s="42" t="s">
        <v>53</v>
      </c>
      <c r="H43" s="42" t="str">
        <f>$C$23&amp;G43</f>
        <v>Ice MachinesEnergy Star Ice Machine 101-200 lbs/day</v>
      </c>
      <c r="I43" s="43">
        <v>50</v>
      </c>
      <c r="J43" s="44" t="s">
        <v>67</v>
      </c>
    </row>
    <row r="44" spans="1:10" x14ac:dyDescent="0.2">
      <c r="E44" s="28"/>
      <c r="F44" s="45" t="s">
        <v>80</v>
      </c>
      <c r="G44" s="45" t="s">
        <v>54</v>
      </c>
      <c r="H44" s="42" t="str">
        <f t="shared" ref="H44:H56" si="0">$C$23&amp;G44</f>
        <v>Ice MachinesEnergy Star Ice Machine 201-300 lbs/day</v>
      </c>
      <c r="I44" s="43">
        <v>50</v>
      </c>
      <c r="J44" s="46" t="s">
        <v>67</v>
      </c>
    </row>
    <row r="45" spans="1:10" x14ac:dyDescent="0.2">
      <c r="E45" s="28"/>
      <c r="F45" s="45" t="s">
        <v>80</v>
      </c>
      <c r="G45" s="45" t="s">
        <v>55</v>
      </c>
      <c r="H45" s="42" t="str">
        <f t="shared" si="0"/>
        <v>Ice MachinesEnergy Star Ice Machine 301-400 lbs/day</v>
      </c>
      <c r="I45" s="43">
        <v>75</v>
      </c>
      <c r="J45" s="46" t="s">
        <v>67</v>
      </c>
    </row>
    <row r="46" spans="1:10" x14ac:dyDescent="0.2">
      <c r="E46" s="28"/>
      <c r="F46" s="45" t="s">
        <v>80</v>
      </c>
      <c r="G46" s="45" t="s">
        <v>56</v>
      </c>
      <c r="H46" s="42" t="str">
        <f t="shared" si="0"/>
        <v>Ice MachinesEnergy Star Ice Machine 401-500 lbs/day</v>
      </c>
      <c r="I46" s="43">
        <v>75</v>
      </c>
      <c r="J46" s="46" t="s">
        <v>67</v>
      </c>
    </row>
    <row r="47" spans="1:10" x14ac:dyDescent="0.2">
      <c r="E47" s="28"/>
      <c r="F47" s="45" t="s">
        <v>80</v>
      </c>
      <c r="G47" s="45" t="s">
        <v>59</v>
      </c>
      <c r="H47" s="42" t="str">
        <f t="shared" si="0"/>
        <v>Ice MachinesEnergy Star Ice Machine 501-1,000 lbs/day</v>
      </c>
      <c r="I47" s="43">
        <v>125</v>
      </c>
      <c r="J47" s="46" t="s">
        <v>67</v>
      </c>
    </row>
    <row r="48" spans="1:10" x14ac:dyDescent="0.2">
      <c r="E48" s="28"/>
      <c r="F48" s="45" t="s">
        <v>80</v>
      </c>
      <c r="G48" s="45" t="s">
        <v>58</v>
      </c>
      <c r="H48" s="42" t="str">
        <f t="shared" si="0"/>
        <v>Ice MachinesEnergy Star Ice Machine 1,001-1,500 lbs/day</v>
      </c>
      <c r="I48" s="43">
        <v>200</v>
      </c>
      <c r="J48" s="46" t="s">
        <v>67</v>
      </c>
    </row>
    <row r="49" spans="5:10" x14ac:dyDescent="0.2">
      <c r="E49" s="28"/>
      <c r="F49" s="45" t="s">
        <v>80</v>
      </c>
      <c r="G49" s="45" t="s">
        <v>57</v>
      </c>
      <c r="H49" s="42" t="str">
        <f t="shared" si="0"/>
        <v>Ice MachinesEnergy Star Ice Machine &gt;1,500 lbs/day</v>
      </c>
      <c r="I49" s="43">
        <v>250</v>
      </c>
      <c r="J49" s="46" t="s">
        <v>67</v>
      </c>
    </row>
    <row r="50" spans="5:10" x14ac:dyDescent="0.2">
      <c r="E50" s="28"/>
      <c r="F50" s="45" t="s">
        <v>80</v>
      </c>
      <c r="G50" s="45" t="s">
        <v>60</v>
      </c>
      <c r="H50" s="42" t="str">
        <f t="shared" si="0"/>
        <v>Ice MachinesSuper-Efficient Ice Machine 101-200 lbs/day</v>
      </c>
      <c r="I50" s="43">
        <v>100</v>
      </c>
      <c r="J50" s="46" t="s">
        <v>67</v>
      </c>
    </row>
    <row r="51" spans="5:10" x14ac:dyDescent="0.2">
      <c r="E51" s="28"/>
      <c r="F51" s="45" t="s">
        <v>80</v>
      </c>
      <c r="G51" s="45" t="s">
        <v>61</v>
      </c>
      <c r="H51" s="42" t="str">
        <f t="shared" si="0"/>
        <v>Ice MachinesSuper-Efficient Ice Machine 201-300 lbs/day</v>
      </c>
      <c r="I51" s="43">
        <v>100</v>
      </c>
      <c r="J51" s="46" t="s">
        <v>67</v>
      </c>
    </row>
    <row r="52" spans="5:10" x14ac:dyDescent="0.2">
      <c r="E52" s="29"/>
      <c r="F52" s="45" t="s">
        <v>80</v>
      </c>
      <c r="G52" s="45" t="s">
        <v>62</v>
      </c>
      <c r="H52" s="42" t="str">
        <f t="shared" si="0"/>
        <v>Ice MachinesSuper-Efficient Ice Machine 301-400 lbs/day</v>
      </c>
      <c r="I52" s="43">
        <v>150</v>
      </c>
      <c r="J52" s="46" t="s">
        <v>67</v>
      </c>
    </row>
    <row r="53" spans="5:10" x14ac:dyDescent="0.2">
      <c r="E53" s="38"/>
      <c r="F53" s="45" t="s">
        <v>80</v>
      </c>
      <c r="G53" s="45" t="s">
        <v>63</v>
      </c>
      <c r="H53" s="42" t="str">
        <f t="shared" si="0"/>
        <v>Ice MachinesSuper-Efficient Ice Machine 401-500 lbs/day</v>
      </c>
      <c r="I53" s="43">
        <v>150</v>
      </c>
      <c r="J53" s="46" t="s">
        <v>67</v>
      </c>
    </row>
    <row r="54" spans="5:10" x14ac:dyDescent="0.2">
      <c r="E54" s="39"/>
      <c r="F54" s="45" t="s">
        <v>80</v>
      </c>
      <c r="G54" s="45" t="s">
        <v>64</v>
      </c>
      <c r="H54" s="42" t="str">
        <f t="shared" si="0"/>
        <v>Ice MachinesSuper-Efficient Ice Machine 501-1,000 lbs/day</v>
      </c>
      <c r="I54" s="43">
        <v>250</v>
      </c>
      <c r="J54" s="46" t="s">
        <v>67</v>
      </c>
    </row>
    <row r="55" spans="5:10" x14ac:dyDescent="0.2">
      <c r="E55" s="39"/>
      <c r="F55" s="45" t="s">
        <v>80</v>
      </c>
      <c r="G55" s="45" t="s">
        <v>65</v>
      </c>
      <c r="H55" s="42" t="str">
        <f t="shared" si="0"/>
        <v>Ice MachinesSuper-Efficient Ice Machine 1,001-1,500 lbs/day</v>
      </c>
      <c r="I55" s="43">
        <v>400</v>
      </c>
      <c r="J55" s="46" t="s">
        <v>67</v>
      </c>
    </row>
    <row r="56" spans="5:10" x14ac:dyDescent="0.2">
      <c r="E56" s="40"/>
      <c r="F56" s="47" t="s">
        <v>80</v>
      </c>
      <c r="G56" s="47" t="s">
        <v>66</v>
      </c>
      <c r="H56" s="42" t="str">
        <f t="shared" si="0"/>
        <v>Ice MachinesSuper-Efficient Ice Machine &gt;1,500 lbs/day</v>
      </c>
      <c r="I56" s="43">
        <v>500</v>
      </c>
      <c r="J56" s="48" t="s">
        <v>67</v>
      </c>
    </row>
    <row r="57" spans="5:10" x14ac:dyDescent="0.2">
      <c r="F57" s="121" t="s">
        <v>92</v>
      </c>
      <c r="G57" s="56" t="s">
        <v>88</v>
      </c>
      <c r="H57" s="56" t="str">
        <f>Cleaning&amp;G57</f>
        <v>DishwasherUnder Counter</v>
      </c>
      <c r="I57" s="57">
        <v>400</v>
      </c>
      <c r="J57" s="58" t="s">
        <v>52</v>
      </c>
    </row>
    <row r="58" spans="5:10" x14ac:dyDescent="0.2">
      <c r="F58" s="122" t="s">
        <v>92</v>
      </c>
      <c r="G58" s="59" t="s">
        <v>49</v>
      </c>
      <c r="H58" s="56" t="str">
        <f>Cleaning&amp;G58</f>
        <v>DishwasherDoor Type</v>
      </c>
      <c r="I58" s="57">
        <v>700</v>
      </c>
      <c r="J58" s="60" t="s">
        <v>52</v>
      </c>
    </row>
    <row r="59" spans="5:10" x14ac:dyDescent="0.2">
      <c r="F59" s="122" t="s">
        <v>92</v>
      </c>
      <c r="G59" s="59" t="s">
        <v>50</v>
      </c>
      <c r="H59" s="56" t="str">
        <f>Cleaning&amp;G59</f>
        <v>DishwasherSingle Tank Conveyor</v>
      </c>
      <c r="I59" s="57">
        <v>1000</v>
      </c>
      <c r="J59" s="60" t="s">
        <v>52</v>
      </c>
    </row>
    <row r="60" spans="5:10" x14ac:dyDescent="0.2">
      <c r="F60" s="123" t="s">
        <v>92</v>
      </c>
      <c r="G60" s="61" t="s">
        <v>51</v>
      </c>
      <c r="H60" s="56" t="str">
        <f>Cleaning&amp;G60</f>
        <v>DishwasherMultiple Tank Conveyor</v>
      </c>
      <c r="I60" s="57">
        <v>1500</v>
      </c>
      <c r="J60" s="62" t="s">
        <v>52</v>
      </c>
    </row>
  </sheetData>
  <mergeCells count="2">
    <mergeCell ref="L3:O3"/>
    <mergeCell ref="B2:J2"/>
  </mergeCells>
  <dataValidations count="5">
    <dataValidation type="list" allowBlank="1" showInputMessage="1" showErrorMessage="1" sqref="M4" xr:uid="{00000000-0002-0000-0200-000000000000}">
      <formula1>INDIRECT($L$4)</formula1>
    </dataValidation>
    <dataValidation type="list" allowBlank="1" showInputMessage="1" showErrorMessage="1" sqref="L4 L8" xr:uid="{00000000-0002-0000-0200-000001000000}">
      <formula1>"Cooking,Holding,Cooling,Cleaning"</formula1>
    </dataValidation>
    <dataValidation type="list" allowBlank="1" showInputMessage="1" showErrorMessage="1" sqref="N4" xr:uid="{00000000-0002-0000-0200-000002000000}">
      <formula1>INDIRECT(SUBSTITUTE($M$4," ","_"))</formula1>
    </dataValidation>
    <dataValidation type="list" allowBlank="1" showInputMessage="1" showErrorMessage="1" sqref="M8" xr:uid="{00000000-0002-0000-0200-000003000000}">
      <formula1>INDIRECT($L8)</formula1>
    </dataValidation>
    <dataValidation type="list" allowBlank="1" showInputMessage="1" showErrorMessage="1" sqref="N8" xr:uid="{00000000-0002-0000-0200-000004000000}">
      <formula1>INDIRECT(SUBSTITUTE($M8," ","_"))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24"/>
  <sheetViews>
    <sheetView workbookViewId="0"/>
  </sheetViews>
  <sheetFormatPr defaultRowHeight="12.75" x14ac:dyDescent="0.2"/>
  <cols>
    <col min="1" max="1" width="43.140625" customWidth="1"/>
    <col min="2" max="2" width="10" customWidth="1"/>
    <col min="3" max="3" width="10.42578125" customWidth="1"/>
    <col min="7" max="7" width="13.7109375" customWidth="1"/>
    <col min="8" max="8" width="35.28515625" customWidth="1"/>
    <col min="9" max="9" width="12.85546875" customWidth="1"/>
  </cols>
  <sheetData>
    <row r="1" spans="1:9" ht="13.5" thickBot="1" x14ac:dyDescent="0.25"/>
    <row r="2" spans="1:9" ht="27" customHeight="1" thickBot="1" x14ac:dyDescent="0.25">
      <c r="A2" s="173" t="s">
        <v>152</v>
      </c>
      <c r="B2" s="174"/>
      <c r="C2" s="175"/>
      <c r="G2" s="176" t="s">
        <v>167</v>
      </c>
      <c r="H2" s="177"/>
      <c r="I2" s="178"/>
    </row>
    <row r="3" spans="1:9" ht="26.25" thickBot="1" x14ac:dyDescent="0.25">
      <c r="A3" s="92" t="s">
        <v>128</v>
      </c>
      <c r="B3" s="93" t="s">
        <v>150</v>
      </c>
      <c r="C3" s="94" t="s">
        <v>151</v>
      </c>
      <c r="G3" s="112" t="s">
        <v>89</v>
      </c>
      <c r="H3" s="113" t="s">
        <v>90</v>
      </c>
      <c r="I3" s="114" t="s">
        <v>166</v>
      </c>
    </row>
    <row r="4" spans="1:9" x14ac:dyDescent="0.2">
      <c r="A4" s="80" t="s">
        <v>129</v>
      </c>
      <c r="B4" s="81">
        <v>180</v>
      </c>
      <c r="C4" s="82">
        <v>8</v>
      </c>
      <c r="G4" s="99" t="s">
        <v>42</v>
      </c>
      <c r="H4" s="31" t="s">
        <v>97</v>
      </c>
      <c r="I4" s="100">
        <v>12</v>
      </c>
    </row>
    <row r="5" spans="1:9" x14ac:dyDescent="0.2">
      <c r="A5" s="83" t="s">
        <v>130</v>
      </c>
      <c r="B5" s="84">
        <v>210</v>
      </c>
      <c r="C5" s="85">
        <v>11</v>
      </c>
      <c r="G5" s="99" t="s">
        <v>42</v>
      </c>
      <c r="H5" s="31" t="s">
        <v>102</v>
      </c>
      <c r="I5" s="100">
        <v>12</v>
      </c>
    </row>
    <row r="6" spans="1:9" x14ac:dyDescent="0.2">
      <c r="A6" s="83" t="s">
        <v>131</v>
      </c>
      <c r="B6" s="84">
        <v>237</v>
      </c>
      <c r="C6" s="85">
        <v>16</v>
      </c>
      <c r="G6" s="99" t="s">
        <v>42</v>
      </c>
      <c r="H6" s="31" t="s">
        <v>103</v>
      </c>
      <c r="I6" s="100">
        <v>12</v>
      </c>
    </row>
    <row r="7" spans="1:9" ht="13.5" thickBot="1" x14ac:dyDescent="0.25">
      <c r="A7" s="86" t="s">
        <v>132</v>
      </c>
      <c r="B7" s="87">
        <v>192</v>
      </c>
      <c r="C7" s="88">
        <v>16</v>
      </c>
      <c r="G7" s="99" t="s">
        <v>42</v>
      </c>
      <c r="H7" s="31" t="s">
        <v>98</v>
      </c>
      <c r="I7" s="100">
        <v>12</v>
      </c>
    </row>
    <row r="8" spans="1:9" ht="13.5" thickBot="1" x14ac:dyDescent="0.25">
      <c r="A8" s="89" t="s">
        <v>133</v>
      </c>
      <c r="B8" s="90">
        <v>364</v>
      </c>
      <c r="C8" s="91">
        <v>16</v>
      </c>
      <c r="G8" s="99" t="s">
        <v>42</v>
      </c>
      <c r="H8" s="32" t="s">
        <v>104</v>
      </c>
      <c r="I8" s="101">
        <v>12</v>
      </c>
    </row>
    <row r="9" spans="1:9" x14ac:dyDescent="0.2">
      <c r="A9" s="80" t="s">
        <v>134</v>
      </c>
      <c r="B9" s="81">
        <v>364</v>
      </c>
      <c r="C9" s="82">
        <v>24</v>
      </c>
      <c r="G9" s="99" t="s">
        <v>42</v>
      </c>
      <c r="H9" s="32" t="s">
        <v>100</v>
      </c>
      <c r="I9" s="102">
        <v>12</v>
      </c>
    </row>
    <row r="10" spans="1:9" ht="13.5" thickBot="1" x14ac:dyDescent="0.25">
      <c r="A10" s="86" t="s">
        <v>135</v>
      </c>
      <c r="B10" s="87">
        <v>351</v>
      </c>
      <c r="C10" s="88">
        <v>12</v>
      </c>
      <c r="G10" s="99" t="s">
        <v>42</v>
      </c>
      <c r="H10" s="31" t="s">
        <v>107</v>
      </c>
      <c r="I10" s="101">
        <v>12</v>
      </c>
    </row>
    <row r="11" spans="1:9" x14ac:dyDescent="0.2">
      <c r="A11" s="80" t="s">
        <v>136</v>
      </c>
      <c r="B11" s="81">
        <v>229</v>
      </c>
      <c r="C11" s="82">
        <v>5</v>
      </c>
      <c r="G11" s="99" t="s">
        <v>42</v>
      </c>
      <c r="H11" s="31" t="s">
        <v>109</v>
      </c>
      <c r="I11" s="103">
        <v>12</v>
      </c>
    </row>
    <row r="12" spans="1:9" ht="13.5" thickBot="1" x14ac:dyDescent="0.25">
      <c r="A12" s="86" t="s">
        <v>137</v>
      </c>
      <c r="B12" s="87">
        <v>364</v>
      </c>
      <c r="C12" s="88">
        <v>24</v>
      </c>
      <c r="G12" s="99" t="s">
        <v>42</v>
      </c>
      <c r="H12" s="31" t="s">
        <v>110</v>
      </c>
      <c r="I12" s="100">
        <v>12</v>
      </c>
    </row>
    <row r="13" spans="1:9" ht="13.5" thickBot="1" x14ac:dyDescent="0.25">
      <c r="A13" s="89" t="s">
        <v>138</v>
      </c>
      <c r="B13" s="90">
        <v>330</v>
      </c>
      <c r="C13" s="91">
        <v>13</v>
      </c>
      <c r="G13" s="99" t="s">
        <v>42</v>
      </c>
      <c r="H13" s="31" t="s">
        <v>99</v>
      </c>
      <c r="I13" s="100">
        <v>12</v>
      </c>
    </row>
    <row r="14" spans="1:9" x14ac:dyDescent="0.2">
      <c r="A14" s="80" t="s">
        <v>139</v>
      </c>
      <c r="B14" s="81">
        <v>234</v>
      </c>
      <c r="C14" s="82">
        <v>12</v>
      </c>
      <c r="G14" s="99" t="s">
        <v>42</v>
      </c>
      <c r="H14" s="31" t="s">
        <v>111</v>
      </c>
      <c r="I14" s="100">
        <v>12</v>
      </c>
    </row>
    <row r="15" spans="1:9" ht="13.5" thickBot="1" x14ac:dyDescent="0.25">
      <c r="A15" s="86" t="s">
        <v>140</v>
      </c>
      <c r="B15" s="87">
        <v>234</v>
      </c>
      <c r="C15" s="88">
        <v>12</v>
      </c>
      <c r="G15" s="99" t="s">
        <v>42</v>
      </c>
      <c r="H15" s="31" t="s">
        <v>112</v>
      </c>
      <c r="I15" s="100">
        <v>12</v>
      </c>
    </row>
    <row r="16" spans="1:9" x14ac:dyDescent="0.2">
      <c r="A16" s="80" t="s">
        <v>141</v>
      </c>
      <c r="B16" s="81">
        <v>364</v>
      </c>
      <c r="C16" s="82">
        <v>12</v>
      </c>
      <c r="G16" s="99" t="s">
        <v>42</v>
      </c>
      <c r="H16" s="31" t="s">
        <v>113</v>
      </c>
      <c r="I16" s="100">
        <v>12</v>
      </c>
    </row>
    <row r="17" spans="1:9" ht="13.5" thickBot="1" x14ac:dyDescent="0.25">
      <c r="A17" s="86" t="s">
        <v>142</v>
      </c>
      <c r="B17" s="87">
        <v>364</v>
      </c>
      <c r="C17" s="88">
        <v>17</v>
      </c>
      <c r="G17" s="99" t="s">
        <v>42</v>
      </c>
      <c r="H17" s="31" t="s">
        <v>114</v>
      </c>
      <c r="I17" s="100">
        <v>12</v>
      </c>
    </row>
    <row r="18" spans="1:9" x14ac:dyDescent="0.2">
      <c r="A18" s="80" t="s">
        <v>143</v>
      </c>
      <c r="B18" s="81">
        <v>355</v>
      </c>
      <c r="C18" s="82">
        <v>12</v>
      </c>
      <c r="G18" s="104" t="s">
        <v>43</v>
      </c>
      <c r="H18" s="34" t="s">
        <v>75</v>
      </c>
      <c r="I18" s="105">
        <v>12</v>
      </c>
    </row>
    <row r="19" spans="1:9" x14ac:dyDescent="0.2">
      <c r="A19" s="83" t="s">
        <v>149</v>
      </c>
      <c r="B19" s="84">
        <v>364</v>
      </c>
      <c r="C19" s="85">
        <v>12</v>
      </c>
      <c r="G19" s="106" t="s">
        <v>44</v>
      </c>
      <c r="H19" s="36" t="s">
        <v>76</v>
      </c>
      <c r="I19" s="107">
        <v>12</v>
      </c>
    </row>
    <row r="20" spans="1:9" ht="13.5" thickBot="1" x14ac:dyDescent="0.25">
      <c r="A20" s="86" t="s">
        <v>144</v>
      </c>
      <c r="B20" s="87">
        <v>364</v>
      </c>
      <c r="C20" s="88">
        <v>11</v>
      </c>
      <c r="G20" s="106" t="s">
        <v>44</v>
      </c>
      <c r="H20" s="36" t="s">
        <v>77</v>
      </c>
      <c r="I20" s="107">
        <v>12</v>
      </c>
    </row>
    <row r="21" spans="1:9" x14ac:dyDescent="0.2">
      <c r="A21" s="80" t="s">
        <v>145</v>
      </c>
      <c r="B21" s="81">
        <v>330</v>
      </c>
      <c r="C21" s="82">
        <v>13</v>
      </c>
      <c r="G21" s="106" t="s">
        <v>44</v>
      </c>
      <c r="H21" s="36" t="s">
        <v>78</v>
      </c>
      <c r="I21" s="108">
        <v>12</v>
      </c>
    </row>
    <row r="22" spans="1:9" ht="13.5" thickBot="1" x14ac:dyDescent="0.25">
      <c r="A22" s="86" t="s">
        <v>146</v>
      </c>
      <c r="B22" s="87">
        <v>330</v>
      </c>
      <c r="C22" s="88">
        <v>13</v>
      </c>
      <c r="G22" s="106" t="s">
        <v>44</v>
      </c>
      <c r="H22" s="36" t="s">
        <v>79</v>
      </c>
      <c r="I22" s="108">
        <v>12</v>
      </c>
    </row>
    <row r="23" spans="1:9" ht="13.5" thickBot="1" x14ac:dyDescent="0.25">
      <c r="A23" s="89" t="s">
        <v>147</v>
      </c>
      <c r="B23" s="90">
        <v>325</v>
      </c>
      <c r="C23" s="91">
        <v>12</v>
      </c>
      <c r="G23" s="106" t="s">
        <v>44</v>
      </c>
      <c r="H23" s="36" t="s">
        <v>80</v>
      </c>
      <c r="I23" s="107">
        <v>10</v>
      </c>
    </row>
    <row r="24" spans="1:9" ht="13.5" thickBot="1" x14ac:dyDescent="0.25">
      <c r="A24" s="89" t="s">
        <v>148</v>
      </c>
      <c r="B24" s="90">
        <v>303</v>
      </c>
      <c r="C24" s="91">
        <v>14</v>
      </c>
      <c r="G24" s="109" t="s">
        <v>45</v>
      </c>
      <c r="H24" s="110" t="s">
        <v>92</v>
      </c>
      <c r="I24" s="111">
        <v>15</v>
      </c>
    </row>
  </sheetData>
  <mergeCells count="2">
    <mergeCell ref="A2:C2"/>
    <mergeCell ref="G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7</v>
      </c>
      <c r="B1" t="s">
        <v>8</v>
      </c>
      <c r="C1" t="s">
        <v>9</v>
      </c>
      <c r="D1" t="s">
        <v>10</v>
      </c>
      <c r="E1" s="4" t="s">
        <v>11</v>
      </c>
      <c r="F1" t="s">
        <v>19</v>
      </c>
      <c r="G1" s="5" t="s">
        <v>20</v>
      </c>
      <c r="H1" t="s">
        <v>12</v>
      </c>
      <c r="I1" t="s">
        <v>96</v>
      </c>
      <c r="J1" t="s">
        <v>13</v>
      </c>
      <c r="K1" t="s">
        <v>14</v>
      </c>
      <c r="L1" t="s">
        <v>15</v>
      </c>
      <c r="M1" s="4" t="s">
        <v>16</v>
      </c>
      <c r="N1" s="4" t="s">
        <v>17</v>
      </c>
      <c r="O1" t="s">
        <v>21</v>
      </c>
      <c r="P1" s="4" t="s">
        <v>22</v>
      </c>
      <c r="Q1" t="s">
        <v>23</v>
      </c>
      <c r="R1" t="s">
        <v>24</v>
      </c>
      <c r="S1" s="120" t="s">
        <v>238</v>
      </c>
      <c r="T1" s="120" t="s">
        <v>239</v>
      </c>
      <c r="U1" s="120" t="s">
        <v>240</v>
      </c>
      <c r="V1" s="120" t="s">
        <v>241</v>
      </c>
      <c r="W1" s="120" t="s">
        <v>242</v>
      </c>
      <c r="X1" s="120" t="s">
        <v>243</v>
      </c>
      <c r="Y1" s="120" t="s">
        <v>236</v>
      </c>
    </row>
    <row r="2" spans="1:25" x14ac:dyDescent="0.2">
      <c r="A2" t="str">
        <f>IF(Worksheet!$C14&lt;&gt;"",VLOOKUP(Worksheet!D14,'Incentive Structure'!$C$4:$D$24,2,FALSE),"")</f>
        <v/>
      </c>
      <c r="B2">
        <f>Worksheet!F14</f>
        <v>0</v>
      </c>
      <c r="C2">
        <f>Worksheet!G14</f>
        <v>0</v>
      </c>
      <c r="E2" s="4"/>
      <c r="H2">
        <f>Worksheet!AA14</f>
        <v>0</v>
      </c>
      <c r="I2" t="str">
        <f>IF(ISBLANK(Worksheet!Y14)=FALSE,Worksheet!Y14,"")</f>
        <v/>
      </c>
      <c r="J2" t="str">
        <f>IFERROR(IF(ISBLANK(Worksheet!$Y14)=FALSE,Worksheet!AG14/Worksheet!$Y14,Worksheet!AH14/Worksheet!$Z14),"")</f>
        <v/>
      </c>
      <c r="K2" t="str">
        <f>IFERROR(IF(ISBLANK(Worksheet!$Y14)=FALSE,Worksheet!AE14/Worksheet!$Y14,Worksheet!AF14/Worksheet!$Z14),"")</f>
        <v/>
      </c>
      <c r="L2" t="str">
        <f>IFERROR(IF(ISBLANK(Worksheet!$Y14)=FALSE,Worksheet!AI14/Worksheet!$Y14,Worksheet!AJ14/Worksheet!$Z14),"")</f>
        <v/>
      </c>
      <c r="M2" t="str">
        <f>IFERROR(IF(ISBLANK(Worksheet!$Y14)=FALSE,Worksheet!AK14/Worksheet!$Y14,Worksheet!AL14/Worksheet!$Z14),"")</f>
        <v/>
      </c>
      <c r="N2" t="str">
        <f>IFERROR(IF(ISBLANK(Worksheet!$Y14)=FALSE,Worksheet!AM14/Worksheet!$Y14,Worksheet!AN14/Worksheet!$Z14),"")</f>
        <v/>
      </c>
      <c r="P2" s="4"/>
      <c r="R2" t="str">
        <f>IF(ISBLANK(Worksheet!Z14)=FALSE,Worksheet!Z14,"")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 t="str">
        <f>IF(Worksheet!$C$11=TRUE,"Y","N")</f>
        <v>N</v>
      </c>
      <c r="Y2">
        <f>IFERROR(Worksheet!AB14,"")</f>
        <v>0</v>
      </c>
    </row>
    <row r="3" spans="1:25" x14ac:dyDescent="0.2">
      <c r="A3" t="str">
        <f>IF(Worksheet!$C15&lt;&gt;"",VLOOKUP(Worksheet!D15,'Incentive Structure'!$C$4:$D$24,2,FALSE),"")</f>
        <v/>
      </c>
      <c r="B3">
        <f>Worksheet!F15</f>
        <v>0</v>
      </c>
      <c r="C3">
        <f>Worksheet!G15</f>
        <v>0</v>
      </c>
      <c r="E3" s="4"/>
      <c r="H3">
        <f>Worksheet!AA15</f>
        <v>0</v>
      </c>
      <c r="I3" t="str">
        <f>IF(ISBLANK(Worksheet!Y15)=FALSE,Worksheet!Y15,"")</f>
        <v/>
      </c>
      <c r="J3" t="str">
        <f>IFERROR(IF(ISBLANK(Worksheet!$Y15)=FALSE,Worksheet!AG15/Worksheet!$Y15,Worksheet!AH15/Worksheet!$Z15),"")</f>
        <v/>
      </c>
      <c r="K3" t="str">
        <f>IFERROR(IF(ISBLANK(Worksheet!$Y15)=FALSE,Worksheet!AE15/Worksheet!$Y15,Worksheet!AF15/Worksheet!$Z15),"")</f>
        <v/>
      </c>
      <c r="L3" t="str">
        <f>IFERROR(IF(ISBLANK(Worksheet!$Y15)=FALSE,Worksheet!AI15/Worksheet!$Y15,Worksheet!AJ15/Worksheet!$Z15),"")</f>
        <v/>
      </c>
      <c r="M3" t="str">
        <f>IFERROR(IF(ISBLANK(Worksheet!$Y15)=FALSE,Worksheet!AK15/Worksheet!$Y15,Worksheet!AL15/Worksheet!$Z15),"")</f>
        <v/>
      </c>
      <c r="N3" t="str">
        <f>IFERROR(IF(ISBLANK(Worksheet!$Y15)=FALSE,Worksheet!AM15/Worksheet!$Y15,Worksheet!AN15/Worksheet!$Z15),"")</f>
        <v/>
      </c>
      <c r="P3" s="4"/>
      <c r="R3" t="str">
        <f>IF(ISBLANK(Worksheet!Z15)=FALSE,Worksheet!Z15,"")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 t="str">
        <f>IF(Worksheet!$C$11=TRUE,"Y","N")</f>
        <v>N</v>
      </c>
      <c r="Y3">
        <f>IFERROR(Worksheet!AB15,"")</f>
        <v>0</v>
      </c>
    </row>
    <row r="4" spans="1:25" x14ac:dyDescent="0.2">
      <c r="A4" t="str">
        <f>IF(Worksheet!$C16&lt;&gt;"",VLOOKUP(Worksheet!D16,'Incentive Structure'!$C$4:$D$24,2,FALSE),"")</f>
        <v/>
      </c>
      <c r="B4">
        <f>Worksheet!F16</f>
        <v>0</v>
      </c>
      <c r="C4">
        <f>Worksheet!G16</f>
        <v>0</v>
      </c>
      <c r="E4" s="4"/>
      <c r="H4">
        <f>Worksheet!AA16</f>
        <v>0</v>
      </c>
      <c r="I4" t="str">
        <f>IF(ISBLANK(Worksheet!Y16)=FALSE,Worksheet!Y16,"")</f>
        <v/>
      </c>
      <c r="J4" t="str">
        <f>IFERROR(IF(ISBLANK(Worksheet!$Y16)=FALSE,Worksheet!AG16/Worksheet!$Y16,Worksheet!AH16/Worksheet!$Z16),"")</f>
        <v/>
      </c>
      <c r="K4" t="str">
        <f>IFERROR(IF(ISBLANK(Worksheet!$Y16)=FALSE,Worksheet!AE16/Worksheet!$Y16,Worksheet!AF16/Worksheet!$Z16),"")</f>
        <v/>
      </c>
      <c r="L4" t="str">
        <f>IFERROR(IF(ISBLANK(Worksheet!$Y16)=FALSE,Worksheet!AI16/Worksheet!$Y16,Worksheet!AJ16/Worksheet!$Z16),"")</f>
        <v/>
      </c>
      <c r="M4" t="str">
        <f>IFERROR(IF(ISBLANK(Worksheet!$Y16)=FALSE,Worksheet!AK16/Worksheet!$Y16,Worksheet!AL16/Worksheet!$Z16),"")</f>
        <v/>
      </c>
      <c r="N4" t="str">
        <f>IFERROR(IF(ISBLANK(Worksheet!$Y16)=FALSE,Worksheet!AM16/Worksheet!$Y16,Worksheet!AN16/Worksheet!$Z16),"")</f>
        <v/>
      </c>
      <c r="P4" s="4"/>
      <c r="R4" t="str">
        <f>IF(ISBLANK(Worksheet!Z16)=FALSE,Worksheet!Z16,"")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 t="str">
        <f>IF(Worksheet!$C$11=TRUE,"Y","N")</f>
        <v>N</v>
      </c>
      <c r="Y4">
        <f>IFERROR(Worksheet!AB16,"")</f>
        <v>0</v>
      </c>
    </row>
    <row r="5" spans="1:25" x14ac:dyDescent="0.2">
      <c r="A5" t="str">
        <f>IF(Worksheet!$C17&lt;&gt;"",VLOOKUP(Worksheet!D17,'Incentive Structure'!$C$4:$D$24,2,FALSE),"")</f>
        <v/>
      </c>
      <c r="B5">
        <f>Worksheet!F17</f>
        <v>0</v>
      </c>
      <c r="C5">
        <f>Worksheet!G17</f>
        <v>0</v>
      </c>
      <c r="E5" s="4"/>
      <c r="H5">
        <f>Worksheet!AA17</f>
        <v>0</v>
      </c>
      <c r="I5" t="str">
        <f>IF(ISBLANK(Worksheet!Y17)=FALSE,Worksheet!Y17,"")</f>
        <v/>
      </c>
      <c r="J5" t="str">
        <f>IFERROR(IF(ISBLANK(Worksheet!$Y17)=FALSE,Worksheet!AG17/Worksheet!$Y17,Worksheet!AH17/Worksheet!$Z17),"")</f>
        <v/>
      </c>
      <c r="K5" t="str">
        <f>IFERROR(IF(ISBLANK(Worksheet!$Y17)=FALSE,Worksheet!AE17/Worksheet!$Y17,Worksheet!AF17/Worksheet!$Z17),"")</f>
        <v/>
      </c>
      <c r="L5" t="str">
        <f>IFERROR(IF(ISBLANK(Worksheet!$Y17)=FALSE,Worksheet!AI17/Worksheet!$Y17,Worksheet!AJ17/Worksheet!$Z17),"")</f>
        <v/>
      </c>
      <c r="M5" t="str">
        <f>IFERROR(IF(ISBLANK(Worksheet!$Y17)=FALSE,Worksheet!AK17/Worksheet!$Y17,Worksheet!AL17/Worksheet!$Z17),"")</f>
        <v/>
      </c>
      <c r="N5" t="str">
        <f>IFERROR(IF(ISBLANK(Worksheet!$Y17)=FALSE,Worksheet!AM17/Worksheet!$Y17,Worksheet!AN17/Worksheet!$Z17),"")</f>
        <v/>
      </c>
      <c r="P5" s="4"/>
      <c r="R5" t="str">
        <f>IF(ISBLANK(Worksheet!Z17)=FALSE,Worksheet!Z17,"")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 t="str">
        <f>IF(Worksheet!$C$11=TRUE,"Y","N")</f>
        <v>N</v>
      </c>
      <c r="Y5">
        <f>IFERROR(Worksheet!AB17,"")</f>
        <v>0</v>
      </c>
    </row>
    <row r="6" spans="1:25" x14ac:dyDescent="0.2">
      <c r="A6" t="str">
        <f>IF(Worksheet!$C18&lt;&gt;"",VLOOKUP(Worksheet!D18,'Incentive Structure'!$C$4:$D$24,2,FALSE),"")</f>
        <v/>
      </c>
      <c r="B6">
        <f>Worksheet!F18</f>
        <v>0</v>
      </c>
      <c r="C6">
        <f>Worksheet!G18</f>
        <v>0</v>
      </c>
      <c r="E6" s="4"/>
      <c r="H6">
        <f>Worksheet!AA18</f>
        <v>0</v>
      </c>
      <c r="I6" t="str">
        <f>IF(ISBLANK(Worksheet!Y18)=FALSE,Worksheet!Y18,"")</f>
        <v/>
      </c>
      <c r="J6" t="str">
        <f>IFERROR(IF(ISBLANK(Worksheet!$Y18)=FALSE,Worksheet!AG18/Worksheet!$Y18,Worksheet!AH18/Worksheet!$Z18),"")</f>
        <v/>
      </c>
      <c r="K6" t="str">
        <f>IFERROR(IF(ISBLANK(Worksheet!$Y18)=FALSE,Worksheet!AE18/Worksheet!$Y18,Worksheet!AF18/Worksheet!$Z18),"")</f>
        <v/>
      </c>
      <c r="L6" t="str">
        <f>IFERROR(IF(ISBLANK(Worksheet!$Y18)=FALSE,Worksheet!AI18/Worksheet!$Y18,Worksheet!AJ18/Worksheet!$Z18),"")</f>
        <v/>
      </c>
      <c r="M6" t="str">
        <f>IFERROR(IF(ISBLANK(Worksheet!$Y18)=FALSE,Worksheet!AK18/Worksheet!$Y18,Worksheet!AL18/Worksheet!$Z18),"")</f>
        <v/>
      </c>
      <c r="N6" t="str">
        <f>IFERROR(IF(ISBLANK(Worksheet!$Y18)=FALSE,Worksheet!AM18/Worksheet!$Y18,Worksheet!AN18/Worksheet!$Z18),"")</f>
        <v/>
      </c>
      <c r="P6" s="4"/>
      <c r="R6" t="str">
        <f>IF(ISBLANK(Worksheet!Z18)=FALSE,Worksheet!Z18,"")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 t="str">
        <f>IF(Worksheet!$C$11=TRUE,"Y","N")</f>
        <v>N</v>
      </c>
      <c r="Y6">
        <f>IFERROR(Worksheet!AB18,"")</f>
        <v>0</v>
      </c>
    </row>
    <row r="7" spans="1:25" x14ac:dyDescent="0.2">
      <c r="A7" t="str">
        <f>IF(Worksheet!$C19&lt;&gt;"",VLOOKUP(Worksheet!D19,'Incentive Structure'!$C$4:$D$24,2,FALSE),"")</f>
        <v/>
      </c>
      <c r="B7">
        <f>Worksheet!F19</f>
        <v>0</v>
      </c>
      <c r="C7">
        <f>Worksheet!G19</f>
        <v>0</v>
      </c>
      <c r="E7" s="4"/>
      <c r="H7">
        <f>Worksheet!AA19</f>
        <v>0</v>
      </c>
      <c r="I7" t="str">
        <f>IF(ISBLANK(Worksheet!Y19)=FALSE,Worksheet!Y19,"")</f>
        <v/>
      </c>
      <c r="J7" t="str">
        <f>IFERROR(IF(ISBLANK(Worksheet!$Y19)=FALSE,Worksheet!AG19/Worksheet!$Y19,Worksheet!AH19/Worksheet!$Z19),"")</f>
        <v/>
      </c>
      <c r="K7" t="str">
        <f>IFERROR(IF(ISBLANK(Worksheet!$Y19)=FALSE,Worksheet!AE19/Worksheet!$Y19,Worksheet!AF19/Worksheet!$Z19),"")</f>
        <v/>
      </c>
      <c r="L7" t="str">
        <f>IFERROR(IF(ISBLANK(Worksheet!$Y19)=FALSE,Worksheet!AI19/Worksheet!$Y19,Worksheet!AJ19/Worksheet!$Z19),"")</f>
        <v/>
      </c>
      <c r="M7" t="str">
        <f>IFERROR(IF(ISBLANK(Worksheet!$Y19)=FALSE,Worksheet!AK19/Worksheet!$Y19,Worksheet!AL19/Worksheet!$Z19),"")</f>
        <v/>
      </c>
      <c r="N7" t="str">
        <f>IFERROR(IF(ISBLANK(Worksheet!$Y19)=FALSE,Worksheet!AM19/Worksheet!$Y19,Worksheet!AN19/Worksheet!$Z19),"")</f>
        <v/>
      </c>
      <c r="P7" s="4"/>
      <c r="R7" t="str">
        <f>IF(ISBLANK(Worksheet!Z19)=FALSE,Worksheet!Z19,"")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 t="str">
        <f>IF(Worksheet!$C$11=TRUE,"Y","N")</f>
        <v>N</v>
      </c>
      <c r="Y7">
        <f>IFERROR(Worksheet!AB19,"")</f>
        <v>0</v>
      </c>
    </row>
    <row r="8" spans="1:25" x14ac:dyDescent="0.2">
      <c r="A8" t="str">
        <f>IF(Worksheet!$C20&lt;&gt;"",VLOOKUP(Worksheet!D20,'Incentive Structure'!$C$4:$D$24,2,FALSE),"")</f>
        <v/>
      </c>
      <c r="B8">
        <f>Worksheet!F20</f>
        <v>0</v>
      </c>
      <c r="C8">
        <f>Worksheet!G20</f>
        <v>0</v>
      </c>
      <c r="E8" s="4"/>
      <c r="H8">
        <f>Worksheet!AA20</f>
        <v>0</v>
      </c>
      <c r="I8" t="str">
        <f>IF(ISBLANK(Worksheet!Y20)=FALSE,Worksheet!Y20,"")</f>
        <v/>
      </c>
      <c r="J8" t="str">
        <f>IFERROR(IF(ISBLANK(Worksheet!$Y20)=FALSE,Worksheet!AG20/Worksheet!$Y20,Worksheet!AH20/Worksheet!$Z20),"")</f>
        <v/>
      </c>
      <c r="K8" t="str">
        <f>IFERROR(IF(ISBLANK(Worksheet!$Y20)=FALSE,Worksheet!AE20/Worksheet!$Y20,Worksheet!AF20/Worksheet!$Z20),"")</f>
        <v/>
      </c>
      <c r="L8" t="str">
        <f>IFERROR(IF(ISBLANK(Worksheet!$Y20)=FALSE,Worksheet!AI20/Worksheet!$Y20,Worksheet!AJ20/Worksheet!$Z20),"")</f>
        <v/>
      </c>
      <c r="M8" t="str">
        <f>IFERROR(IF(ISBLANK(Worksheet!$Y20)=FALSE,Worksheet!AK20/Worksheet!$Y20,Worksheet!AL20/Worksheet!$Z20),"")</f>
        <v/>
      </c>
      <c r="N8" t="str">
        <f>IFERROR(IF(ISBLANK(Worksheet!$Y20)=FALSE,Worksheet!AM20/Worksheet!$Y20,Worksheet!AN20/Worksheet!$Z20),"")</f>
        <v/>
      </c>
      <c r="P8" s="4"/>
      <c r="R8" t="str">
        <f>IF(ISBLANK(Worksheet!Z20)=FALSE,Worksheet!Z20,"")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 t="str">
        <f>IF(Worksheet!$C$11=TRUE,"Y","N")</f>
        <v>N</v>
      </c>
      <c r="Y8">
        <f>IFERROR(Worksheet!AB20,"")</f>
        <v>0</v>
      </c>
    </row>
    <row r="9" spans="1:25" x14ac:dyDescent="0.2">
      <c r="A9" t="str">
        <f>IF(Worksheet!$C21&lt;&gt;"",VLOOKUP(Worksheet!D21,'Incentive Structure'!$C$4:$D$24,2,FALSE),"")</f>
        <v/>
      </c>
      <c r="B9">
        <f>Worksheet!F21</f>
        <v>0</v>
      </c>
      <c r="C9">
        <f>Worksheet!G21</f>
        <v>0</v>
      </c>
      <c r="E9" s="4"/>
      <c r="H9">
        <f>Worksheet!AA21</f>
        <v>0</v>
      </c>
      <c r="I9" t="str">
        <f>IF(ISBLANK(Worksheet!Y21)=FALSE,Worksheet!Y21,"")</f>
        <v/>
      </c>
      <c r="J9" t="str">
        <f>IFERROR(IF(ISBLANK(Worksheet!$Y21)=FALSE,Worksheet!AG21/Worksheet!$Y21,Worksheet!AH21/Worksheet!$Z21),"")</f>
        <v/>
      </c>
      <c r="K9" t="str">
        <f>IFERROR(IF(ISBLANK(Worksheet!$Y21)=FALSE,Worksheet!AE21/Worksheet!$Y21,Worksheet!AF21/Worksheet!$Z21),"")</f>
        <v/>
      </c>
      <c r="L9" t="str">
        <f>IFERROR(IF(ISBLANK(Worksheet!$Y21)=FALSE,Worksheet!AI21/Worksheet!$Y21,Worksheet!AJ21/Worksheet!$Z21),"")</f>
        <v/>
      </c>
      <c r="M9" t="str">
        <f>IFERROR(IF(ISBLANK(Worksheet!$Y21)=FALSE,Worksheet!AK21/Worksheet!$Y21,Worksheet!AL21/Worksheet!$Z21),"")</f>
        <v/>
      </c>
      <c r="N9" t="str">
        <f>IFERROR(IF(ISBLANK(Worksheet!$Y21)=FALSE,Worksheet!AM21/Worksheet!$Y21,Worksheet!AN21/Worksheet!$Z21),"")</f>
        <v/>
      </c>
      <c r="P9" s="4"/>
      <c r="R9" t="str">
        <f>IF(ISBLANK(Worksheet!Z21)=FALSE,Worksheet!Z21,"")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 t="str">
        <f>IF(Worksheet!$C$11=TRUE,"Y","N")</f>
        <v>N</v>
      </c>
      <c r="Y9">
        <f>IFERROR(Worksheet!AB21,"")</f>
        <v>0</v>
      </c>
    </row>
    <row r="10" spans="1:25" x14ac:dyDescent="0.2">
      <c r="A10" t="str">
        <f>IF(Worksheet!$C22&lt;&gt;"",VLOOKUP(Worksheet!D22,'Incentive Structure'!$C$4:$D$24,2,FALSE),"")</f>
        <v/>
      </c>
      <c r="B10">
        <f>Worksheet!F22</f>
        <v>0</v>
      </c>
      <c r="C10">
        <f>Worksheet!G22</f>
        <v>0</v>
      </c>
      <c r="E10" s="4"/>
      <c r="H10">
        <f>Worksheet!AA22</f>
        <v>0</v>
      </c>
      <c r="I10" t="str">
        <f>IF(ISBLANK(Worksheet!Y22)=FALSE,Worksheet!Y22,"")</f>
        <v/>
      </c>
      <c r="J10" t="str">
        <f>IFERROR(IF(ISBLANK(Worksheet!$Y22)=FALSE,Worksheet!AG22/Worksheet!$Y22,Worksheet!AH22/Worksheet!$Z22),"")</f>
        <v/>
      </c>
      <c r="K10" t="str">
        <f>IFERROR(IF(ISBLANK(Worksheet!$Y22)=FALSE,Worksheet!AE22/Worksheet!$Y22,Worksheet!AF22/Worksheet!$Z22),"")</f>
        <v/>
      </c>
      <c r="L10" t="str">
        <f>IFERROR(IF(ISBLANK(Worksheet!$Y22)=FALSE,Worksheet!AI22/Worksheet!$Y22,Worksheet!AJ22/Worksheet!$Z22),"")</f>
        <v/>
      </c>
      <c r="M10" t="str">
        <f>IFERROR(IF(ISBLANK(Worksheet!$Y22)=FALSE,Worksheet!AK22/Worksheet!$Y22,Worksheet!AL22/Worksheet!$Z22),"")</f>
        <v/>
      </c>
      <c r="N10" t="str">
        <f>IFERROR(IF(ISBLANK(Worksheet!$Y22)=FALSE,Worksheet!AM22/Worksheet!$Y22,Worksheet!AN22/Worksheet!$Z22),"")</f>
        <v/>
      </c>
      <c r="P10" s="4"/>
      <c r="R10" t="str">
        <f>IF(ISBLANK(Worksheet!Z22)=FALSE,Worksheet!Z22,"")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 t="str">
        <f>IF(Worksheet!$C$11=TRUE,"Y","N")</f>
        <v>N</v>
      </c>
      <c r="Y10">
        <f>IFERROR(Worksheet!AB22,"")</f>
        <v>0</v>
      </c>
    </row>
    <row r="11" spans="1:25" x14ac:dyDescent="0.2">
      <c r="A11" t="str">
        <f>IF(Worksheet!$C23&lt;&gt;"",VLOOKUP(Worksheet!D23,'Incentive Structure'!$C$4:$D$24,2,FALSE),"")</f>
        <v/>
      </c>
      <c r="B11">
        <f>Worksheet!F23</f>
        <v>0</v>
      </c>
      <c r="C11">
        <f>Worksheet!G23</f>
        <v>0</v>
      </c>
      <c r="E11" s="4"/>
      <c r="H11">
        <f>Worksheet!AA23</f>
        <v>0</v>
      </c>
      <c r="I11" t="str">
        <f>IF(ISBLANK(Worksheet!Y23)=FALSE,Worksheet!Y23,"")</f>
        <v/>
      </c>
      <c r="J11" t="str">
        <f>IFERROR(IF(ISBLANK(Worksheet!$Y23)=FALSE,Worksheet!AG23/Worksheet!$Y23,Worksheet!AH23/Worksheet!$Z23),"")</f>
        <v/>
      </c>
      <c r="K11" t="str">
        <f>IFERROR(IF(ISBLANK(Worksheet!$Y23)=FALSE,Worksheet!AE23/Worksheet!$Y23,Worksheet!AF23/Worksheet!$Z23),"")</f>
        <v/>
      </c>
      <c r="L11" t="str">
        <f>IFERROR(IF(ISBLANK(Worksheet!$Y23)=FALSE,Worksheet!AI23/Worksheet!$Y23,Worksheet!AJ23/Worksheet!$Z23),"")</f>
        <v/>
      </c>
      <c r="M11" t="str">
        <f>IFERROR(IF(ISBLANK(Worksheet!$Y23)=FALSE,Worksheet!AK23/Worksheet!$Y23,Worksheet!AL23/Worksheet!$Z23),"")</f>
        <v/>
      </c>
      <c r="N11" t="str">
        <f>IFERROR(IF(ISBLANK(Worksheet!$Y23)=FALSE,Worksheet!AM23/Worksheet!$Y23,Worksheet!AN23/Worksheet!$Z23),"")</f>
        <v/>
      </c>
      <c r="P11" s="4"/>
      <c r="R11" t="str">
        <f>IF(ISBLANK(Worksheet!Z23)=FALSE,Worksheet!Z23,"")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 t="str">
        <f>IF(Worksheet!$C$11=TRUE,"Y","N")</f>
        <v>N</v>
      </c>
      <c r="Y11">
        <f>IFERROR(Worksheet!AB23,"")</f>
        <v>0</v>
      </c>
    </row>
    <row r="12" spans="1:25" x14ac:dyDescent="0.2">
      <c r="A12" t="str">
        <f>IF(Worksheet!$C24&lt;&gt;"",VLOOKUP(Worksheet!D24,'Incentive Structure'!$C$4:$D$24,2,FALSE),"")</f>
        <v/>
      </c>
      <c r="B12">
        <f>Worksheet!F24</f>
        <v>0</v>
      </c>
      <c r="C12">
        <f>Worksheet!G24</f>
        <v>0</v>
      </c>
      <c r="E12" s="4"/>
      <c r="H12">
        <f>Worksheet!AA24</f>
        <v>0</v>
      </c>
      <c r="I12" t="str">
        <f>IF(ISBLANK(Worksheet!Y24)=FALSE,Worksheet!Y24,"")</f>
        <v/>
      </c>
      <c r="J12" t="str">
        <f>IFERROR(IF(ISBLANK(Worksheet!$Y24)=FALSE,Worksheet!AG24/Worksheet!$Y24,Worksheet!AH24/Worksheet!$Z24),"")</f>
        <v/>
      </c>
      <c r="K12" t="str">
        <f>IFERROR(IF(ISBLANK(Worksheet!$Y24)=FALSE,Worksheet!AE24/Worksheet!$Y24,Worksheet!AF24/Worksheet!$Z24),"")</f>
        <v/>
      </c>
      <c r="L12" t="str">
        <f>IFERROR(IF(ISBLANK(Worksheet!$Y24)=FALSE,Worksheet!AI24/Worksheet!$Y24,Worksheet!AJ24/Worksheet!$Z24),"")</f>
        <v/>
      </c>
      <c r="M12" t="str">
        <f>IFERROR(IF(ISBLANK(Worksheet!$Y24)=FALSE,Worksheet!AK24/Worksheet!$Y24,Worksheet!AL24/Worksheet!$Z24),"")</f>
        <v/>
      </c>
      <c r="N12" t="str">
        <f>IFERROR(IF(ISBLANK(Worksheet!$Y24)=FALSE,Worksheet!AM24/Worksheet!$Y24,Worksheet!AN24/Worksheet!$Z24),"")</f>
        <v/>
      </c>
      <c r="P12" s="4"/>
      <c r="R12" t="str">
        <f>IF(ISBLANK(Worksheet!Z24)=FALSE,Worksheet!Z24,"")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 t="str">
        <f>IF(Worksheet!$C$11=TRUE,"Y","N")</f>
        <v>N</v>
      </c>
      <c r="Y12">
        <f>IFERROR(Worksheet!AB24,"")</f>
        <v>0</v>
      </c>
    </row>
    <row r="13" spans="1:25" x14ac:dyDescent="0.2">
      <c r="A13" t="str">
        <f>IF(Worksheet!$C25&lt;&gt;"",VLOOKUP(Worksheet!D25,'Incentive Structure'!$C$4:$D$24,2,FALSE),"")</f>
        <v/>
      </c>
      <c r="B13">
        <f>Worksheet!F25</f>
        <v>0</v>
      </c>
      <c r="C13">
        <f>Worksheet!G25</f>
        <v>0</v>
      </c>
      <c r="E13" s="4"/>
      <c r="H13">
        <f>Worksheet!AA25</f>
        <v>0</v>
      </c>
      <c r="I13" t="str">
        <f>IF(ISBLANK(Worksheet!Y25)=FALSE,Worksheet!Y25,"")</f>
        <v/>
      </c>
      <c r="J13" t="str">
        <f>IFERROR(IF(ISBLANK(Worksheet!$Y25)=FALSE,Worksheet!AG25/Worksheet!$Y25,Worksheet!AH25/Worksheet!$Z25),"")</f>
        <v/>
      </c>
      <c r="K13" t="str">
        <f>IFERROR(IF(ISBLANK(Worksheet!$Y25)=FALSE,Worksheet!AE25/Worksheet!$Y25,Worksheet!AF25/Worksheet!$Z25),"")</f>
        <v/>
      </c>
      <c r="L13" t="str">
        <f>IFERROR(IF(ISBLANK(Worksheet!$Y25)=FALSE,Worksheet!AI25/Worksheet!$Y25,Worksheet!AJ25/Worksheet!$Z25),"")</f>
        <v/>
      </c>
      <c r="M13" t="str">
        <f>IFERROR(IF(ISBLANK(Worksheet!$Y25)=FALSE,Worksheet!AK25/Worksheet!$Y25,Worksheet!AL25/Worksheet!$Z25),"")</f>
        <v/>
      </c>
      <c r="N13" t="str">
        <f>IFERROR(IF(ISBLANK(Worksheet!$Y25)=FALSE,Worksheet!AM25/Worksheet!$Y25,Worksheet!AN25/Worksheet!$Z25),"")</f>
        <v/>
      </c>
      <c r="P13" s="4"/>
      <c r="R13" t="str">
        <f>IF(ISBLANK(Worksheet!Z25)=FALSE,Worksheet!Z25,"")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 t="str">
        <f>IF(Worksheet!$C$11=TRUE,"Y","N")</f>
        <v>N</v>
      </c>
      <c r="Y13">
        <f>IFERROR(Worksheet!AB25,"")</f>
        <v>0</v>
      </c>
    </row>
    <row r="14" spans="1:25" x14ac:dyDescent="0.2">
      <c r="A14" t="str">
        <f>IF(Worksheet!$C26&lt;&gt;"",VLOOKUP(Worksheet!D26,'Incentive Structure'!$C$4:$D$24,2,FALSE),"")</f>
        <v/>
      </c>
      <c r="B14">
        <f>Worksheet!F26</f>
        <v>0</v>
      </c>
      <c r="C14">
        <f>Worksheet!G26</f>
        <v>0</v>
      </c>
      <c r="E14" s="4"/>
      <c r="H14">
        <f>Worksheet!AA26</f>
        <v>0</v>
      </c>
      <c r="I14" t="str">
        <f>IF(ISBLANK(Worksheet!Y26)=FALSE,Worksheet!Y26,"")</f>
        <v/>
      </c>
      <c r="J14" t="str">
        <f>IFERROR(IF(ISBLANK(Worksheet!$Y26)=FALSE,Worksheet!AG26/Worksheet!$Y26,Worksheet!AH26/Worksheet!$Z26),"")</f>
        <v/>
      </c>
      <c r="K14" t="str">
        <f>IFERROR(IF(ISBLANK(Worksheet!$Y26)=FALSE,Worksheet!AE26/Worksheet!$Y26,Worksheet!AF26/Worksheet!$Z26),"")</f>
        <v/>
      </c>
      <c r="L14" t="str">
        <f>IFERROR(IF(ISBLANK(Worksheet!$Y26)=FALSE,Worksheet!AI26/Worksheet!$Y26,Worksheet!AJ26/Worksheet!$Z26),"")</f>
        <v/>
      </c>
      <c r="M14" t="str">
        <f>IFERROR(IF(ISBLANK(Worksheet!$Y26)=FALSE,Worksheet!AK26/Worksheet!$Y26,Worksheet!AL26/Worksheet!$Z26),"")</f>
        <v/>
      </c>
      <c r="N14" t="str">
        <f>IFERROR(IF(ISBLANK(Worksheet!$Y26)=FALSE,Worksheet!AM26/Worksheet!$Y26,Worksheet!AN26/Worksheet!$Z26),"")</f>
        <v/>
      </c>
      <c r="P14" s="4"/>
      <c r="R14" t="str">
        <f>IF(ISBLANK(Worksheet!Z26)=FALSE,Worksheet!Z26,"")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 t="str">
        <f>IF(Worksheet!$C$11=TRUE,"Y","N")</f>
        <v>N</v>
      </c>
      <c r="Y14">
        <f>IFERROR(Worksheet!AB26,"")</f>
        <v>0</v>
      </c>
    </row>
    <row r="15" spans="1:25" x14ac:dyDescent="0.2">
      <c r="A15" t="str">
        <f>IF(Worksheet!$C27&lt;&gt;"",VLOOKUP(Worksheet!D27,'Incentive Structure'!$C$4:$D$24,2,FALSE),"")</f>
        <v/>
      </c>
      <c r="B15">
        <f>Worksheet!F27</f>
        <v>0</v>
      </c>
      <c r="C15">
        <f>Worksheet!G27</f>
        <v>0</v>
      </c>
      <c r="E15" s="4"/>
      <c r="H15">
        <f>Worksheet!AA27</f>
        <v>0</v>
      </c>
      <c r="I15" t="str">
        <f>IF(ISBLANK(Worksheet!Y27)=FALSE,Worksheet!Y27,"")</f>
        <v/>
      </c>
      <c r="J15" t="str">
        <f>IFERROR(IF(ISBLANK(Worksheet!$Y27)=FALSE,Worksheet!AG27/Worksheet!$Y27,Worksheet!AH27/Worksheet!$Z27),"")</f>
        <v/>
      </c>
      <c r="K15" t="str">
        <f>IFERROR(IF(ISBLANK(Worksheet!$Y27)=FALSE,Worksheet!AE27/Worksheet!$Y27,Worksheet!AF27/Worksheet!$Z27),"")</f>
        <v/>
      </c>
      <c r="L15" t="str">
        <f>IFERROR(IF(ISBLANK(Worksheet!$Y27)=FALSE,Worksheet!AI27/Worksheet!$Y27,Worksheet!AJ27/Worksheet!$Z27),"")</f>
        <v/>
      </c>
      <c r="M15" t="str">
        <f>IFERROR(IF(ISBLANK(Worksheet!$Y27)=FALSE,Worksheet!AK27/Worksheet!$Y27,Worksheet!AL27/Worksheet!$Z27),"")</f>
        <v/>
      </c>
      <c r="N15" t="str">
        <f>IFERROR(IF(ISBLANK(Worksheet!$Y27)=FALSE,Worksheet!AM27/Worksheet!$Y27,Worksheet!AN27/Worksheet!$Z27),"")</f>
        <v/>
      </c>
      <c r="P15" s="4"/>
      <c r="R15" t="str">
        <f>IF(ISBLANK(Worksheet!Z27)=FALSE,Worksheet!Z27,"")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 t="str">
        <f>IF(Worksheet!$C$11=TRUE,"Y","N")</f>
        <v>N</v>
      </c>
      <c r="Y15">
        <f>IFERROR(Worksheet!AB27,"")</f>
        <v>0</v>
      </c>
    </row>
    <row r="16" spans="1:25" x14ac:dyDescent="0.2">
      <c r="A16" t="str">
        <f>IF(Worksheet!$C28&lt;&gt;"",VLOOKUP(Worksheet!D28,'Incentive Structure'!$C$4:$D$24,2,FALSE),"")</f>
        <v/>
      </c>
      <c r="B16">
        <f>Worksheet!F28</f>
        <v>0</v>
      </c>
      <c r="C16">
        <f>Worksheet!G28</f>
        <v>0</v>
      </c>
      <c r="E16" s="4"/>
      <c r="H16">
        <f>Worksheet!AA28</f>
        <v>0</v>
      </c>
      <c r="I16" t="str">
        <f>IF(ISBLANK(Worksheet!Y28)=FALSE,Worksheet!Y28,"")</f>
        <v/>
      </c>
      <c r="J16" t="str">
        <f>IFERROR(IF(ISBLANK(Worksheet!$Y28)=FALSE,Worksheet!AG28/Worksheet!$Y28,Worksheet!AH28/Worksheet!$Z28),"")</f>
        <v/>
      </c>
      <c r="K16" t="str">
        <f>IFERROR(IF(ISBLANK(Worksheet!$Y28)=FALSE,Worksheet!AE28/Worksheet!$Y28,Worksheet!AF28/Worksheet!$Z28),"")</f>
        <v/>
      </c>
      <c r="L16" t="str">
        <f>IFERROR(IF(ISBLANK(Worksheet!$Y28)=FALSE,Worksheet!AI28/Worksheet!$Y28,Worksheet!AJ28/Worksheet!$Z28),"")</f>
        <v/>
      </c>
      <c r="M16" t="str">
        <f>IFERROR(IF(ISBLANK(Worksheet!$Y28)=FALSE,Worksheet!AK28/Worksheet!$Y28,Worksheet!AL28/Worksheet!$Z28),"")</f>
        <v/>
      </c>
      <c r="N16" t="str">
        <f>IFERROR(IF(ISBLANK(Worksheet!$Y28)=FALSE,Worksheet!AM28/Worksheet!$Y28,Worksheet!AN28/Worksheet!$Z28),"")</f>
        <v/>
      </c>
      <c r="P16" s="4"/>
      <c r="R16" t="str">
        <f>IF(ISBLANK(Worksheet!Z28)=FALSE,Worksheet!Z28,"")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 t="str">
        <f>IF(Worksheet!$C$11=TRUE,"Y","N")</f>
        <v>N</v>
      </c>
      <c r="Y16">
        <f>IFERROR(Worksheet!AB28,"")</f>
        <v>0</v>
      </c>
    </row>
    <row r="17" spans="1:25" x14ac:dyDescent="0.2">
      <c r="A17" t="str">
        <f>IF(Worksheet!$C29&lt;&gt;"",VLOOKUP(Worksheet!D29,'Incentive Structure'!$C$4:$D$24,2,FALSE),"")</f>
        <v/>
      </c>
      <c r="B17">
        <f>Worksheet!F29</f>
        <v>0</v>
      </c>
      <c r="C17">
        <f>Worksheet!G29</f>
        <v>0</v>
      </c>
      <c r="E17" s="4"/>
      <c r="H17">
        <f>Worksheet!AA29</f>
        <v>0</v>
      </c>
      <c r="I17" t="str">
        <f>IF(ISBLANK(Worksheet!Y29)=FALSE,Worksheet!Y29,"")</f>
        <v/>
      </c>
      <c r="J17" t="str">
        <f>IFERROR(IF(ISBLANK(Worksheet!$Y29)=FALSE,Worksheet!AG29/Worksheet!$Y29,Worksheet!AH29/Worksheet!$Z29),"")</f>
        <v/>
      </c>
      <c r="K17" t="str">
        <f>IFERROR(IF(ISBLANK(Worksheet!$Y29)=FALSE,Worksheet!AE29/Worksheet!$Y29,Worksheet!AF29/Worksheet!$Z29),"")</f>
        <v/>
      </c>
      <c r="L17" t="str">
        <f>IFERROR(IF(ISBLANK(Worksheet!$Y29)=FALSE,Worksheet!AI29/Worksheet!$Y29,Worksheet!AJ29/Worksheet!$Z29),"")</f>
        <v/>
      </c>
      <c r="M17" t="str">
        <f>IFERROR(IF(ISBLANK(Worksheet!$Y29)=FALSE,Worksheet!AK29/Worksheet!$Y29,Worksheet!AL29/Worksheet!$Z29),"")</f>
        <v/>
      </c>
      <c r="N17" t="str">
        <f>IFERROR(IF(ISBLANK(Worksheet!$Y29)=FALSE,Worksheet!AM29/Worksheet!$Y29,Worksheet!AN29/Worksheet!$Z29),"")</f>
        <v/>
      </c>
      <c r="P17" s="4"/>
      <c r="R17" t="str">
        <f>IF(ISBLANK(Worksheet!Z29)=FALSE,Worksheet!Z29,"")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 t="str">
        <f>IF(Worksheet!$C$11=TRUE,"Y","N")</f>
        <v>N</v>
      </c>
      <c r="Y17">
        <f>IFERROR(Worksheet!AB29,"")</f>
        <v>0</v>
      </c>
    </row>
    <row r="18" spans="1:25" x14ac:dyDescent="0.2">
      <c r="A18" t="str">
        <f>IF(Worksheet!$C30&lt;&gt;"",VLOOKUP(Worksheet!D30,'Incentive Structure'!$C$4:$D$24,2,FALSE),"")</f>
        <v/>
      </c>
      <c r="B18">
        <f>Worksheet!F30</f>
        <v>0</v>
      </c>
      <c r="C18">
        <f>Worksheet!G30</f>
        <v>0</v>
      </c>
      <c r="E18" s="4"/>
      <c r="H18">
        <f>Worksheet!AA30</f>
        <v>0</v>
      </c>
      <c r="I18" t="str">
        <f>IF(ISBLANK(Worksheet!Y30)=FALSE,Worksheet!Y30,"")</f>
        <v/>
      </c>
      <c r="J18" t="str">
        <f>IFERROR(IF(ISBLANK(Worksheet!$Y30)=FALSE,Worksheet!AG30/Worksheet!$Y30,Worksheet!AH30/Worksheet!$Z30),"")</f>
        <v/>
      </c>
      <c r="K18" t="str">
        <f>IFERROR(IF(ISBLANK(Worksheet!$Y30)=FALSE,Worksheet!AE30/Worksheet!$Y30,Worksheet!AF30/Worksheet!$Z30),"")</f>
        <v/>
      </c>
      <c r="L18" t="str">
        <f>IFERROR(IF(ISBLANK(Worksheet!$Y30)=FALSE,Worksheet!AI30/Worksheet!$Y30,Worksheet!AJ30/Worksheet!$Z30),"")</f>
        <v/>
      </c>
      <c r="M18" t="str">
        <f>IFERROR(IF(ISBLANK(Worksheet!$Y30)=FALSE,Worksheet!AK30/Worksheet!$Y30,Worksheet!AL30/Worksheet!$Z30),"")</f>
        <v/>
      </c>
      <c r="N18" t="str">
        <f>IFERROR(IF(ISBLANK(Worksheet!$Y30)=FALSE,Worksheet!AM30/Worksheet!$Y30,Worksheet!AN30/Worksheet!$Z30),"")</f>
        <v/>
      </c>
      <c r="P18" s="4"/>
      <c r="R18" t="str">
        <f>IF(ISBLANK(Worksheet!Z30)=FALSE,Worksheet!Z30,"")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 t="str">
        <f>IF(Worksheet!$C$11=TRUE,"Y","N")</f>
        <v>N</v>
      </c>
      <c r="Y18">
        <f>IFERROR(Worksheet!AB30,"")</f>
        <v>0</v>
      </c>
    </row>
    <row r="19" spans="1:25" x14ac:dyDescent="0.2">
      <c r="A19" t="str">
        <f>IF(Worksheet!$C31&lt;&gt;"",VLOOKUP(Worksheet!D31,'Incentive Structure'!$C$4:$D$24,2,FALSE),"")</f>
        <v/>
      </c>
      <c r="B19">
        <f>Worksheet!F31</f>
        <v>0</v>
      </c>
      <c r="C19">
        <f>Worksheet!G31</f>
        <v>0</v>
      </c>
      <c r="E19" s="4"/>
      <c r="H19">
        <f>Worksheet!AA31</f>
        <v>0</v>
      </c>
      <c r="I19" t="str">
        <f>IF(ISBLANK(Worksheet!Y31)=FALSE,Worksheet!Y31,"")</f>
        <v/>
      </c>
      <c r="J19" t="str">
        <f>IFERROR(IF(ISBLANK(Worksheet!$Y31)=FALSE,Worksheet!AG31/Worksheet!$Y31,Worksheet!AH31/Worksheet!$Z31),"")</f>
        <v/>
      </c>
      <c r="K19" t="str">
        <f>IFERROR(IF(ISBLANK(Worksheet!$Y31)=FALSE,Worksheet!AE31/Worksheet!$Y31,Worksheet!AF31/Worksheet!$Z31),"")</f>
        <v/>
      </c>
      <c r="L19" t="str">
        <f>IFERROR(IF(ISBLANK(Worksheet!$Y31)=FALSE,Worksheet!AI31/Worksheet!$Y31,Worksheet!AJ31/Worksheet!$Z31),"")</f>
        <v/>
      </c>
      <c r="M19" t="str">
        <f>IFERROR(IF(ISBLANK(Worksheet!$Y31)=FALSE,Worksheet!AK31/Worksheet!$Y31,Worksheet!AL31/Worksheet!$Z31),"")</f>
        <v/>
      </c>
      <c r="N19" t="str">
        <f>IFERROR(IF(ISBLANK(Worksheet!$Y31)=FALSE,Worksheet!AM31/Worksheet!$Y31,Worksheet!AN31/Worksheet!$Z31),"")</f>
        <v/>
      </c>
      <c r="P19" s="4"/>
      <c r="R19" t="str">
        <f>IF(ISBLANK(Worksheet!Z31)=FALSE,Worksheet!Z31,"")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 t="str">
        <f>IF(Worksheet!$C$11=TRUE,"Y","N")</f>
        <v>N</v>
      </c>
      <c r="Y19">
        <f>IFERROR(Worksheet!AB31,"")</f>
        <v>0</v>
      </c>
    </row>
    <row r="20" spans="1:25" x14ac:dyDescent="0.2">
      <c r="A20" t="str">
        <f>IF(Worksheet!$C32&lt;&gt;"",VLOOKUP(Worksheet!D32,'Incentive Structure'!$C$4:$D$24,2,FALSE),"")</f>
        <v/>
      </c>
      <c r="B20">
        <f>Worksheet!F32</f>
        <v>0</v>
      </c>
      <c r="C20">
        <f>Worksheet!G32</f>
        <v>0</v>
      </c>
      <c r="E20" s="4"/>
      <c r="H20">
        <f>Worksheet!AA32</f>
        <v>0</v>
      </c>
      <c r="I20" t="str">
        <f>IF(ISBLANK(Worksheet!Y32)=FALSE,Worksheet!Y32,"")</f>
        <v/>
      </c>
      <c r="J20" t="str">
        <f>IFERROR(IF(ISBLANK(Worksheet!$Y32)=FALSE,Worksheet!AG32/Worksheet!$Y32,Worksheet!AH32/Worksheet!$Z32),"")</f>
        <v/>
      </c>
      <c r="K20" t="str">
        <f>IFERROR(IF(ISBLANK(Worksheet!$Y32)=FALSE,Worksheet!AE32/Worksheet!$Y32,Worksheet!AF32/Worksheet!$Z32),"")</f>
        <v/>
      </c>
      <c r="L20" t="str">
        <f>IFERROR(IF(ISBLANK(Worksheet!$Y32)=FALSE,Worksheet!AI32/Worksheet!$Y32,Worksheet!AJ32/Worksheet!$Z32),"")</f>
        <v/>
      </c>
      <c r="M20" t="str">
        <f>IFERROR(IF(ISBLANK(Worksheet!$Y32)=FALSE,Worksheet!AK32/Worksheet!$Y32,Worksheet!AL32/Worksheet!$Z32),"")</f>
        <v/>
      </c>
      <c r="N20" t="str">
        <f>IFERROR(IF(ISBLANK(Worksheet!$Y32)=FALSE,Worksheet!AM32/Worksheet!$Y32,Worksheet!AN32/Worksheet!$Z32),"")</f>
        <v/>
      </c>
      <c r="P20" s="4"/>
      <c r="R20" t="str">
        <f>IF(ISBLANK(Worksheet!Z32)=FALSE,Worksheet!Z32,"")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 t="str">
        <f>IF(Worksheet!$C$11=TRUE,"Y","N")</f>
        <v>N</v>
      </c>
      <c r="Y20">
        <f>IFERROR(Worksheet!AB32,"")</f>
        <v>0</v>
      </c>
    </row>
    <row r="21" spans="1:25" x14ac:dyDescent="0.2">
      <c r="A21" t="str">
        <f>IF(Worksheet!$C33&lt;&gt;"",VLOOKUP(Worksheet!D33,'Incentive Structure'!$C$4:$D$24,2,FALSE),"")</f>
        <v/>
      </c>
      <c r="B21">
        <f>Worksheet!F33</f>
        <v>0</v>
      </c>
      <c r="C21">
        <f>Worksheet!G33</f>
        <v>0</v>
      </c>
      <c r="E21" s="4"/>
      <c r="H21">
        <f>Worksheet!AA33</f>
        <v>0</v>
      </c>
      <c r="I21" t="str">
        <f>IF(ISBLANK(Worksheet!Y33)=FALSE,Worksheet!Y33,"")</f>
        <v/>
      </c>
      <c r="J21" t="str">
        <f>IFERROR(IF(ISBLANK(Worksheet!$Y33)=FALSE,Worksheet!AG33/Worksheet!$Y33,Worksheet!AH33/Worksheet!$Z33),"")</f>
        <v/>
      </c>
      <c r="K21" t="str">
        <f>IFERROR(IF(ISBLANK(Worksheet!$Y33)=FALSE,Worksheet!AE33/Worksheet!$Y33,Worksheet!AF33/Worksheet!$Z33),"")</f>
        <v/>
      </c>
      <c r="L21" t="str">
        <f>IFERROR(IF(ISBLANK(Worksheet!$Y33)=FALSE,Worksheet!AI33/Worksheet!$Y33,Worksheet!AJ33/Worksheet!$Z33),"")</f>
        <v/>
      </c>
      <c r="M21" t="str">
        <f>IFERROR(IF(ISBLANK(Worksheet!$Y33)=FALSE,Worksheet!AK33/Worksheet!$Y33,Worksheet!AL33/Worksheet!$Z33),"")</f>
        <v/>
      </c>
      <c r="N21" t="str">
        <f>IFERROR(IF(ISBLANK(Worksheet!$Y33)=FALSE,Worksheet!AM33/Worksheet!$Y33,Worksheet!AN33/Worksheet!$Z33),"")</f>
        <v/>
      </c>
      <c r="P21" s="4"/>
      <c r="R21" t="str">
        <f>IF(ISBLANK(Worksheet!Z33)=FALSE,Worksheet!Z33,"")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 t="str">
        <f>IF(Worksheet!$C$11=TRUE,"Y","N")</f>
        <v>N</v>
      </c>
      <c r="Y21">
        <f>IFERROR(Worksheet!AB33,"")</f>
        <v>0</v>
      </c>
    </row>
    <row r="22" spans="1:25" x14ac:dyDescent="0.2">
      <c r="A22" t="str">
        <f>IF(Worksheet!$C34&lt;&gt;"",VLOOKUP(Worksheet!D34,'Incentive Structure'!$C$4:$D$24,2,FALSE),"")</f>
        <v/>
      </c>
      <c r="B22">
        <f>Worksheet!F34</f>
        <v>0</v>
      </c>
      <c r="C22">
        <f>Worksheet!G34</f>
        <v>0</v>
      </c>
      <c r="E22" s="4"/>
      <c r="H22">
        <f>Worksheet!AA34</f>
        <v>0</v>
      </c>
      <c r="I22" t="str">
        <f>IF(ISBLANK(Worksheet!Y34)=FALSE,Worksheet!Y34,"")</f>
        <v/>
      </c>
      <c r="J22" t="str">
        <f>IFERROR(IF(ISBLANK(Worksheet!$Y34)=FALSE,Worksheet!AG34/Worksheet!$Y34,Worksheet!AH34/Worksheet!$Z34),"")</f>
        <v/>
      </c>
      <c r="K22" t="str">
        <f>IFERROR(IF(ISBLANK(Worksheet!$Y34)=FALSE,Worksheet!AE34/Worksheet!$Y34,Worksheet!AF34/Worksheet!$Z34),"")</f>
        <v/>
      </c>
      <c r="L22" t="str">
        <f>IFERROR(IF(ISBLANK(Worksheet!$Y34)=FALSE,Worksheet!AI34/Worksheet!$Y34,Worksheet!AJ34/Worksheet!$Z34),"")</f>
        <v/>
      </c>
      <c r="M22" t="str">
        <f>IFERROR(IF(ISBLANK(Worksheet!$Y34)=FALSE,Worksheet!AK34/Worksheet!$Y34,Worksheet!AL34/Worksheet!$Z34),"")</f>
        <v/>
      </c>
      <c r="N22" t="str">
        <f>IFERROR(IF(ISBLANK(Worksheet!$Y34)=FALSE,Worksheet!AM34/Worksheet!$Y34,Worksheet!AN34/Worksheet!$Z34),"")</f>
        <v/>
      </c>
      <c r="P22" s="4"/>
      <c r="R22" t="str">
        <f>IF(ISBLANK(Worksheet!Z34)=FALSE,Worksheet!Z34,"")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 t="str">
        <f>IF(Worksheet!$C$11=TRUE,"Y","N")</f>
        <v>N</v>
      </c>
      <c r="Y22">
        <f>IFERROR(Worksheet!AB34,"")</f>
        <v>0</v>
      </c>
    </row>
    <row r="23" spans="1:25" x14ac:dyDescent="0.2">
      <c r="A23" t="str">
        <f>IF(Worksheet!$C35&lt;&gt;"",VLOOKUP(Worksheet!D35,'Incentive Structure'!$C$4:$D$24,2,FALSE),"")</f>
        <v/>
      </c>
      <c r="B23">
        <f>Worksheet!F35</f>
        <v>0</v>
      </c>
      <c r="C23">
        <f>Worksheet!G35</f>
        <v>0</v>
      </c>
      <c r="E23" s="4"/>
      <c r="H23">
        <f>Worksheet!AA35</f>
        <v>0</v>
      </c>
      <c r="I23" t="str">
        <f>IF(ISBLANK(Worksheet!Y35)=FALSE,Worksheet!Y35,"")</f>
        <v/>
      </c>
      <c r="J23" t="str">
        <f>IFERROR(IF(ISBLANK(Worksheet!$Y35)=FALSE,Worksheet!AG35/Worksheet!$Y35,Worksheet!AH35/Worksheet!$Z35),"")</f>
        <v/>
      </c>
      <c r="K23" t="str">
        <f>IFERROR(IF(ISBLANK(Worksheet!$Y35)=FALSE,Worksheet!AE35/Worksheet!$Y35,Worksheet!AF35/Worksheet!$Z35),"")</f>
        <v/>
      </c>
      <c r="L23" t="str">
        <f>IFERROR(IF(ISBLANK(Worksheet!$Y35)=FALSE,Worksheet!AI35/Worksheet!$Y35,Worksheet!AJ35/Worksheet!$Z35),"")</f>
        <v/>
      </c>
      <c r="M23" t="str">
        <f>IFERROR(IF(ISBLANK(Worksheet!$Y35)=FALSE,Worksheet!AK35/Worksheet!$Y35,Worksheet!AL35/Worksheet!$Z35),"")</f>
        <v/>
      </c>
      <c r="N23" t="str">
        <f>IFERROR(IF(ISBLANK(Worksheet!$Y35)=FALSE,Worksheet!AM35/Worksheet!$Y35,Worksheet!AN35/Worksheet!$Z35),"")</f>
        <v/>
      </c>
      <c r="P23" s="4"/>
      <c r="R23" t="str">
        <f>IF(ISBLANK(Worksheet!Z35)=FALSE,Worksheet!Z35,"")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 t="str">
        <f>IF(Worksheet!$C$11=TRUE,"Y","N")</f>
        <v>N</v>
      </c>
      <c r="Y23">
        <f>IFERROR(Worksheet!AB35,"")</f>
        <v>0</v>
      </c>
    </row>
    <row r="24" spans="1:25" x14ac:dyDescent="0.2">
      <c r="A24" t="str">
        <f>IF(Worksheet!$C36&lt;&gt;"",VLOOKUP(Worksheet!D36,'Incentive Structure'!$C$4:$D$24,2,FALSE),"")</f>
        <v/>
      </c>
      <c r="B24">
        <f>Worksheet!F36</f>
        <v>0</v>
      </c>
      <c r="C24">
        <f>Worksheet!G36</f>
        <v>0</v>
      </c>
      <c r="E24" s="4"/>
      <c r="H24">
        <f>Worksheet!AA36</f>
        <v>0</v>
      </c>
      <c r="I24" t="str">
        <f>IF(ISBLANK(Worksheet!Y36)=FALSE,Worksheet!Y36,"")</f>
        <v/>
      </c>
      <c r="J24" t="str">
        <f>IFERROR(IF(ISBLANK(Worksheet!$Y36)=FALSE,Worksheet!AG36/Worksheet!$Y36,Worksheet!AH36/Worksheet!$Z36),"")</f>
        <v/>
      </c>
      <c r="K24" t="str">
        <f>IFERROR(IF(ISBLANK(Worksheet!$Y36)=FALSE,Worksheet!AE36/Worksheet!$Y36,Worksheet!AF36/Worksheet!$Z36),"")</f>
        <v/>
      </c>
      <c r="L24" t="str">
        <f>IFERROR(IF(ISBLANK(Worksheet!$Y36)=FALSE,Worksheet!AI36/Worksheet!$Y36,Worksheet!AJ36/Worksheet!$Z36),"")</f>
        <v/>
      </c>
      <c r="M24" t="str">
        <f>IFERROR(IF(ISBLANK(Worksheet!$Y36)=FALSE,Worksheet!AK36/Worksheet!$Y36,Worksheet!AL36/Worksheet!$Z36),"")</f>
        <v/>
      </c>
      <c r="N24" t="str">
        <f>IFERROR(IF(ISBLANK(Worksheet!$Y36)=FALSE,Worksheet!AM36/Worksheet!$Y36,Worksheet!AN36/Worksheet!$Z36),"")</f>
        <v/>
      </c>
      <c r="P24" s="4"/>
      <c r="R24" t="str">
        <f>IF(ISBLANK(Worksheet!Z36)=FALSE,Worksheet!Z36,"")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 t="str">
        <f>IF(Worksheet!$C$11=TRUE,"Y","N")</f>
        <v>N</v>
      </c>
      <c r="Y24">
        <f>IFERROR(Worksheet!AB36,"")</f>
        <v>0</v>
      </c>
    </row>
    <row r="25" spans="1:25" x14ac:dyDescent="0.2">
      <c r="A25" t="str">
        <f>IF(Worksheet!$C37&lt;&gt;"",VLOOKUP(Worksheet!D37,'Incentive Structure'!$C$4:$D$24,2,FALSE),"")</f>
        <v/>
      </c>
      <c r="B25">
        <f>Worksheet!F37</f>
        <v>0</v>
      </c>
      <c r="C25">
        <f>Worksheet!G37</f>
        <v>0</v>
      </c>
      <c r="E25" s="4"/>
      <c r="H25">
        <f>Worksheet!AA37</f>
        <v>0</v>
      </c>
      <c r="I25" t="str">
        <f>IF(ISBLANK(Worksheet!Y37)=FALSE,Worksheet!Y37,"")</f>
        <v/>
      </c>
      <c r="J25" t="str">
        <f>IFERROR(IF(ISBLANK(Worksheet!$Y37)=FALSE,Worksheet!AG37/Worksheet!$Y37,Worksheet!AH37/Worksheet!$Z37),"")</f>
        <v/>
      </c>
      <c r="K25" t="str">
        <f>IFERROR(IF(ISBLANK(Worksheet!$Y37)=FALSE,Worksheet!AE37/Worksheet!$Y37,Worksheet!AF37/Worksheet!$Z37),"")</f>
        <v/>
      </c>
      <c r="L25" t="str">
        <f>IFERROR(IF(ISBLANK(Worksheet!$Y37)=FALSE,Worksheet!AI37/Worksheet!$Y37,Worksheet!AJ37/Worksheet!$Z37),"")</f>
        <v/>
      </c>
      <c r="M25" t="str">
        <f>IFERROR(IF(ISBLANK(Worksheet!$Y37)=FALSE,Worksheet!AK37/Worksheet!$Y37,Worksheet!AL37/Worksheet!$Z37),"")</f>
        <v/>
      </c>
      <c r="N25" t="str">
        <f>IFERROR(IF(ISBLANK(Worksheet!$Y37)=FALSE,Worksheet!AM37/Worksheet!$Y37,Worksheet!AN37/Worksheet!$Z37),"")</f>
        <v/>
      </c>
      <c r="P25" s="4"/>
      <c r="R25" t="str">
        <f>IF(ISBLANK(Worksheet!Z37)=FALSE,Worksheet!Z37,"")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 t="str">
        <f>IF(Worksheet!$C$11=TRUE,"Y","N")</f>
        <v>N</v>
      </c>
      <c r="Y25">
        <f>IFERROR(Worksheet!AB37,"")</f>
        <v>0</v>
      </c>
    </row>
    <row r="26" spans="1:25" x14ac:dyDescent="0.2">
      <c r="A26" t="str">
        <f>IF(Worksheet!$C38&lt;&gt;"",VLOOKUP(Worksheet!D38,'Incentive Structure'!$C$4:$D$24,2,FALSE),"")</f>
        <v/>
      </c>
      <c r="B26">
        <f>Worksheet!F38</f>
        <v>0</v>
      </c>
      <c r="C26">
        <f>Worksheet!G38</f>
        <v>0</v>
      </c>
      <c r="E26" s="4"/>
      <c r="H26">
        <f>Worksheet!AA38</f>
        <v>0</v>
      </c>
      <c r="I26" t="str">
        <f>IF(ISBLANK(Worksheet!Y38)=FALSE,Worksheet!Y38,"")</f>
        <v/>
      </c>
      <c r="J26" t="str">
        <f>IFERROR(IF(ISBLANK(Worksheet!$Y38)=FALSE,Worksheet!AG38/Worksheet!$Y38,Worksheet!AH38/Worksheet!$Z38),"")</f>
        <v/>
      </c>
      <c r="K26" t="str">
        <f>IFERROR(IF(ISBLANK(Worksheet!$Y38)=FALSE,Worksheet!AE38/Worksheet!$Y38,Worksheet!AF38/Worksheet!$Z38),"")</f>
        <v/>
      </c>
      <c r="L26" t="str">
        <f>IFERROR(IF(ISBLANK(Worksheet!$Y38)=FALSE,Worksheet!AI38/Worksheet!$Y38,Worksheet!AJ38/Worksheet!$Z38),"")</f>
        <v/>
      </c>
      <c r="M26" t="str">
        <f>IFERROR(IF(ISBLANK(Worksheet!$Y38)=FALSE,Worksheet!AK38/Worksheet!$Y38,Worksheet!AL38/Worksheet!$Z38),"")</f>
        <v/>
      </c>
      <c r="N26" t="str">
        <f>IFERROR(IF(ISBLANK(Worksheet!$Y38)=FALSE,Worksheet!AM38/Worksheet!$Y38,Worksheet!AN38/Worksheet!$Z38),"")</f>
        <v/>
      </c>
      <c r="P26" s="4"/>
      <c r="R26" t="str">
        <f>IF(ISBLANK(Worksheet!Z38)=FALSE,Worksheet!Z38,"")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 t="str">
        <f>IF(Worksheet!$C$11=TRUE,"Y","N")</f>
        <v>N</v>
      </c>
      <c r="Y26">
        <f>IFERROR(Worksheet!AB38,"")</f>
        <v>0</v>
      </c>
    </row>
    <row r="27" spans="1:25" x14ac:dyDescent="0.2">
      <c r="E27" s="4"/>
      <c r="G27" s="4"/>
      <c r="N27" t="str">
        <f>IFERROR(IF(ISBLANK(Worksheet!$Y39)=FALSE,Worksheet!AM39/Worksheet!$Y39,Worksheet!AN39/Worksheet!$Z39),"")</f>
        <v/>
      </c>
      <c r="S27" t="str">
        <f>IF(Worksheet!$A$10=TRUE,"Y","N")</f>
        <v>N</v>
      </c>
      <c r="T27" t="str">
        <f>IF(Worksheet!$A$11=TRUE,"Y","N")</f>
        <v>N</v>
      </c>
      <c r="U27" t="str">
        <f>IF(Worksheet!$B$10=TRUE,"Y","N")</f>
        <v>N</v>
      </c>
      <c r="V27" t="str">
        <f>IF(Worksheet!$B$11=TRUE,"Y","N")</f>
        <v>N</v>
      </c>
      <c r="W27" t="str">
        <f>IF(Worksheet!$C$10=TRUE,"Y","N")</f>
        <v>N</v>
      </c>
      <c r="X27" t="str">
        <f>IF(Worksheet!$C$11=TRUE,"Y","N")</f>
        <v>N</v>
      </c>
      <c r="Y27">
        <f>IFERROR(Worksheet!AB39,"")</f>
        <v>0</v>
      </c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10"/>
  <sheetViews>
    <sheetView workbookViewId="0"/>
  </sheetViews>
  <sheetFormatPr defaultRowHeight="12.75" x14ac:dyDescent="0.2"/>
  <cols>
    <col min="1" max="1" width="12.5703125" customWidth="1"/>
  </cols>
  <sheetData>
    <row r="1" spans="1:3" x14ac:dyDescent="0.2">
      <c r="A1" s="5">
        <v>14</v>
      </c>
      <c r="B1" s="2" t="s">
        <v>122</v>
      </c>
    </row>
    <row r="3" spans="1:3" x14ac:dyDescent="0.2">
      <c r="A3" s="3" t="s">
        <v>18</v>
      </c>
    </row>
    <row r="4" spans="1:3" x14ac:dyDescent="0.2">
      <c r="A4" s="2">
        <v>41387</v>
      </c>
      <c r="B4" s="1" t="s">
        <v>120</v>
      </c>
      <c r="C4" s="1"/>
    </row>
    <row r="5" spans="1:3" x14ac:dyDescent="0.2">
      <c r="A5" s="2">
        <v>41464</v>
      </c>
      <c r="B5" t="s">
        <v>121</v>
      </c>
    </row>
    <row r="6" spans="1:3" x14ac:dyDescent="0.2">
      <c r="A6" s="2">
        <v>41471</v>
      </c>
      <c r="B6" t="s">
        <v>124</v>
      </c>
    </row>
    <row r="7" spans="1:3" x14ac:dyDescent="0.2">
      <c r="A7" s="2">
        <v>41536</v>
      </c>
      <c r="B7" s="5" t="s">
        <v>125</v>
      </c>
    </row>
    <row r="8" spans="1:3" x14ac:dyDescent="0.2">
      <c r="A8" s="2">
        <v>43277</v>
      </c>
      <c r="B8" s="120" t="s">
        <v>232</v>
      </c>
    </row>
    <row r="9" spans="1:3" x14ac:dyDescent="0.2">
      <c r="A9" s="2">
        <v>43647</v>
      </c>
      <c r="B9" s="120" t="s">
        <v>237</v>
      </c>
    </row>
    <row r="10" spans="1:3" x14ac:dyDescent="0.2">
      <c r="A10" s="2">
        <v>44105</v>
      </c>
      <c r="B10" s="120" t="s">
        <v>244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Worksheet</vt:lpstr>
      <vt:lpstr>Measure Code</vt:lpstr>
      <vt:lpstr>electric cooking device list</vt:lpstr>
      <vt:lpstr>Incentive Structure</vt:lpstr>
      <vt:lpstr>Building Type</vt:lpstr>
      <vt:lpstr>Export</vt:lpstr>
      <vt:lpstr>Version</vt:lpstr>
      <vt:lpstr>Building_Type</vt:lpstr>
      <vt:lpstr>Cleaning</vt:lpstr>
      <vt:lpstr>Combination_Oven_Steamer_Electric</vt:lpstr>
      <vt:lpstr>Combination_Oven_Steamer_Natural_Gas</vt:lpstr>
      <vt:lpstr>Convection_Oven_Electric</vt:lpstr>
      <vt:lpstr>Convection_Oven_Natural_Gas</vt:lpstr>
      <vt:lpstr>Conveyor_Oven_Natural_Gas</vt:lpstr>
      <vt:lpstr>Cooking</vt:lpstr>
      <vt:lpstr>Cooling</vt:lpstr>
      <vt:lpstr>Dishwasher</vt:lpstr>
      <vt:lpstr>Fryer_Electric</vt:lpstr>
      <vt:lpstr>Fryer_Natural_Gas</vt:lpstr>
      <vt:lpstr>Glass_Door_Freezers</vt:lpstr>
      <vt:lpstr>Glass_Door_Refrigerators</vt:lpstr>
      <vt:lpstr>Griddle_Electric</vt:lpstr>
      <vt:lpstr>Griddle_Natural_Gas</vt:lpstr>
      <vt:lpstr>Holding</vt:lpstr>
      <vt:lpstr>Ice_Machines</vt:lpstr>
      <vt:lpstr>'Incentive Structure'!IncenCateg</vt:lpstr>
      <vt:lpstr>IncenTable</vt:lpstr>
      <vt:lpstr>Insulated_Holding_Cabinets</vt:lpstr>
      <vt:lpstr>Large_Vat_Fryer_Electric</vt:lpstr>
      <vt:lpstr>Large_Vat_Fryer_Natural_Gas</vt:lpstr>
      <vt:lpstr>MeasureCode</vt:lpstr>
      <vt:lpstr>MeasureCode_Lookup</vt:lpstr>
      <vt:lpstr>Rack_Oven_Natural_Gas</vt:lpstr>
      <vt:lpstr>Solid_Door_Freezers</vt:lpstr>
      <vt:lpstr>Solid_Door_Refrigerators</vt:lpstr>
      <vt:lpstr>Steam_Cooker_Electric</vt:lpstr>
      <vt:lpstr>Steam_Cooker_Natural_Gas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Cignavitch, Leigh</cp:lastModifiedBy>
  <dcterms:created xsi:type="dcterms:W3CDTF">2007-06-20T17:34:56Z</dcterms:created>
  <dcterms:modified xsi:type="dcterms:W3CDTF">2021-06-07T17:26:05Z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6e79dc39f7f64bb4a7c42e138f5b5ec1</vt:lpwstr>
  </property>
</Properties>
</file>