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va\Dropbox (Karpman Consulting)\P4P\P4P Documents\Tech Tips\Elevator Analysis\"/>
    </mc:Choice>
  </mc:AlternateContent>
  <workbookProtection workbookPassword="F16B" lockStructure="1"/>
  <bookViews>
    <workbookView xWindow="0" yWindow="0" windowWidth="28800" windowHeight="10275" tabRatio="764"/>
  </bookViews>
  <sheets>
    <sheet name="Elevator Calculator" sheetId="1" r:id="rId1"/>
    <sheet name="Table 1 Usage Categories" sheetId="2" state="hidden" r:id="rId2"/>
    <sheet name="Motor Efficiency" sheetId="3" state="hidden" r:id="rId3"/>
    <sheet name="Usage hours" sheetId="4" state="hidden" r:id="rId4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6" i="1" l="1"/>
  <c r="F26" i="1"/>
  <c r="G26" i="1"/>
  <c r="H26" i="1"/>
  <c r="E28" i="1"/>
  <c r="F28" i="1"/>
  <c r="G28" i="1"/>
  <c r="H28" i="1"/>
  <c r="F29" i="1"/>
  <c r="G29" i="1"/>
  <c r="H29" i="1"/>
  <c r="D28" i="1"/>
  <c r="D26" i="1"/>
  <c r="E7" i="1" l="1"/>
  <c r="F7" i="1" s="1"/>
  <c r="G7" i="1" s="1"/>
  <c r="H7" i="1" s="1"/>
  <c r="E12" i="1" l="1"/>
  <c r="F12" i="1"/>
  <c r="G12" i="1"/>
  <c r="H12" i="1"/>
  <c r="D12" i="1"/>
  <c r="G13" i="1" l="1"/>
  <c r="G27" i="1"/>
  <c r="D13" i="1"/>
  <c r="D29" i="1"/>
  <c r="D27" i="1"/>
  <c r="H13" i="1"/>
  <c r="H27" i="1"/>
  <c r="F13" i="1"/>
  <c r="F27" i="1"/>
  <c r="E13" i="1"/>
  <c r="E29" i="1"/>
  <c r="E27" i="1"/>
  <c r="E32" i="1"/>
  <c r="E42" i="1" s="1"/>
  <c r="F32" i="1"/>
  <c r="F42" i="1" s="1"/>
  <c r="G32" i="1"/>
  <c r="G42" i="1" s="1"/>
  <c r="H32" i="1"/>
  <c r="H42" i="1" s="1"/>
  <c r="D32" i="1"/>
  <c r="D42" i="1" s="1"/>
  <c r="E31" i="1"/>
  <c r="E43" i="1" s="1"/>
  <c r="F31" i="1"/>
  <c r="F43" i="1" s="1"/>
  <c r="G31" i="1"/>
  <c r="G43" i="1" s="1"/>
  <c r="H31" i="1"/>
  <c r="H43" i="1" s="1"/>
  <c r="D31" i="1"/>
  <c r="D43" i="1" s="1"/>
  <c r="E34" i="1" l="1"/>
  <c r="F34" i="1"/>
  <c r="G34" i="1"/>
  <c r="H34" i="1"/>
  <c r="D34" i="1"/>
  <c r="E33" i="1"/>
  <c r="F33" i="1"/>
  <c r="F35" i="1" s="1"/>
  <c r="G33" i="1"/>
  <c r="G35" i="1" s="1"/>
  <c r="H33" i="1"/>
  <c r="D33" i="1"/>
  <c r="E35" i="1" l="1"/>
  <c r="E36" i="1" s="1"/>
  <c r="H35" i="1"/>
  <c r="D35" i="1"/>
  <c r="D36" i="1" s="1"/>
  <c r="D38" i="1" l="1"/>
  <c r="D37" i="1"/>
  <c r="D39" i="1" l="1"/>
  <c r="D40" i="1" s="1"/>
  <c r="D41" i="1" s="1"/>
  <c r="F36" i="1"/>
  <c r="G36" i="1"/>
  <c r="H36" i="1"/>
  <c r="G37" i="1" l="1"/>
  <c r="G38" i="1"/>
  <c r="G39" i="1" s="1"/>
  <c r="G40" i="1" s="1"/>
  <c r="G41" i="1" s="1"/>
  <c r="F37" i="1"/>
  <c r="F38" i="1"/>
  <c r="F39" i="1" s="1"/>
  <c r="F40" i="1" s="1"/>
  <c r="F41" i="1" s="1"/>
  <c r="H38" i="1"/>
  <c r="H39" i="1" s="1"/>
  <c r="H40" i="1" s="1"/>
  <c r="H41" i="1" s="1"/>
  <c r="H37" i="1"/>
  <c r="E50" i="1"/>
  <c r="D49" i="1"/>
  <c r="D50" i="1"/>
  <c r="E49" i="1"/>
  <c r="E48" i="1"/>
  <c r="E51" i="1" l="1"/>
  <c r="F50" i="1"/>
  <c r="F49" i="1"/>
  <c r="E37" i="1" l="1"/>
  <c r="E39" i="1" s="1"/>
  <c r="E40" i="1" s="1"/>
  <c r="E41" i="1" s="1"/>
  <c r="E38" i="1"/>
  <c r="D48" i="1" l="1"/>
  <c r="D51" i="1" l="1"/>
  <c r="F48" i="1"/>
  <c r="F51" i="1" s="1"/>
</calcChain>
</file>

<file path=xl/sharedStrings.xml><?xml version="1.0" encoding="utf-8"?>
<sst xmlns="http://schemas.openxmlformats.org/spreadsheetml/2006/main" count="99" uniqueCount="95">
  <si>
    <t>Quantity</t>
  </si>
  <si>
    <t>Usage Category</t>
  </si>
  <si>
    <t>Usage Intensity/ Frequency</t>
  </si>
  <si>
    <t>Very Low
Very Seldom</t>
  </si>
  <si>
    <t>Low
Seldom</t>
  </si>
  <si>
    <t>Medium
Occasionally</t>
  </si>
  <si>
    <t>High
Frequently</t>
  </si>
  <si>
    <t>Very High
Very Frequently</t>
  </si>
  <si>
    <t>Typical Type of Buildings and Use</t>
  </si>
  <si>
    <t xml:space="preserve">Residential building with up to 6 dwellings.
Small office or administrative building with few operations.
</t>
  </si>
  <si>
    <t>Residential building with up to 20 dwellings.
Small Office or Administrative Building with 2 to 5 floors.
Small Hotels
Goods lift with few operations.</t>
  </si>
  <si>
    <t>Residential building with up to 50 dwellings.
Small office or administrative building with up to 10 floors.
Medium Sized Hotels
Goods lift with medium operations.</t>
  </si>
  <si>
    <t>Residential building with more than 50 dwellings.
Tall office or administrative building with more than 10 floors.
Large Hotel
Small to Medium Sized Hospitals
Good lift in production process with a single shaft.</t>
  </si>
  <si>
    <t xml:space="preserve">Office or administration building over 100 meters in height.
Large Hospital
Goods lift in production process with several shafts.
</t>
  </si>
  <si>
    <t>Motor efficiency (%)</t>
  </si>
  <si>
    <t>Table 1</t>
  </si>
  <si>
    <t>Baseline Parameters</t>
  </si>
  <si>
    <t>Weight of Car (lb.)</t>
  </si>
  <si>
    <t>Rated Load (lb.)</t>
  </si>
  <si>
    <t>Counterweight [weight of car + 40% of rated load] (lb.)</t>
  </si>
  <si>
    <t>Speed of Car (ft./min)</t>
  </si>
  <si>
    <t>Average Travel Time (hours per day)</t>
  </si>
  <si>
    <t>Savings Summary</t>
  </si>
  <si>
    <t>Baseline</t>
  </si>
  <si>
    <t>Proposed</t>
  </si>
  <si>
    <t>Savings</t>
  </si>
  <si>
    <t>Motor</t>
  </si>
  <si>
    <t>Fans</t>
  </si>
  <si>
    <t>Lights</t>
  </si>
  <si>
    <t>Pay for Performance - NC</t>
  </si>
  <si>
    <t>Technical Tip: Calculating Elevator Energy Consumption</t>
  </si>
  <si>
    <t>Building</t>
  </si>
  <si>
    <t>Cab Area (Square Feet)</t>
  </si>
  <si>
    <t>Cab Fan Power Allowance (W/CFM)</t>
  </si>
  <si>
    <t>Cab Lighting Power Allowance (W/SF)</t>
  </si>
  <si>
    <t>Baseline Elevator Type</t>
  </si>
  <si>
    <t>Annual Electric Consumption (kWh)</t>
  </si>
  <si>
    <t>Total</t>
  </si>
  <si>
    <t>Horsepower</t>
  </si>
  <si>
    <t>Full-Load Efficiency</t>
  </si>
  <si>
    <t>Table G3.9.3 Motor Efficiency Requirements for Hydraulic Motors</t>
  </si>
  <si>
    <t>Table G3.9.1 Motor Efficiency Requirements for Traction Motors</t>
  </si>
  <si>
    <t>Number of Stories Served (including below grade floors)</t>
  </si>
  <si>
    <t>Traction Motor Efficiency</t>
  </si>
  <si>
    <t>Hydraulic Motor Efficiency</t>
  </si>
  <si>
    <t>Counterweight of Car (lbs) (if unknown, leave blank)</t>
  </si>
  <si>
    <t>Cab Motor Efficiency [h motor] (%) ASHRAE 90.1-2016 Tables G3.9.3 &amp; G3.9.1</t>
  </si>
  <si>
    <t>Cab Mechanical Efficiency [h mechanical] (%) ASHRAE 90.1-2016 Table G3.9.2</t>
  </si>
  <si>
    <t>Residential building with up to 6 dwellings</t>
  </si>
  <si>
    <t>Office or administrative building, small with few operations</t>
  </si>
  <si>
    <t>Office or administrative building 2 - 5 floors</t>
  </si>
  <si>
    <t>Office or administrative building 6 - 10 floors</t>
  </si>
  <si>
    <t>Office or administrative building with more than 10 floors</t>
  </si>
  <si>
    <t>Office or administration building over 300 feet in height</t>
  </si>
  <si>
    <t>Hotel, small </t>
  </si>
  <si>
    <t>Hotel, medium </t>
  </si>
  <si>
    <t>Hotel, large</t>
  </si>
  <si>
    <t>Hospital, small to medium</t>
  </si>
  <si>
    <t>Hospital, large</t>
  </si>
  <si>
    <t>Goods lift with few operations</t>
  </si>
  <si>
    <t>Goods lift with medium operations.</t>
  </si>
  <si>
    <t>Goods lift in production process with a single shaft</t>
  </si>
  <si>
    <t>Typical Type of Building</t>
  </si>
  <si>
    <t>Use (hours/day)</t>
  </si>
  <si>
    <t>Residential building with 21 – 49 dwellings.</t>
  </si>
  <si>
    <t>Residential building with more than 50 dwellings</t>
  </si>
  <si>
    <t>Very Low/ Very Seldom</t>
  </si>
  <si>
    <t>Low/ Seldom</t>
  </si>
  <si>
    <t>Medium/ Occasionally</t>
  </si>
  <si>
    <t>High/ Frequently</t>
  </si>
  <si>
    <t>Very High/ Very Frequently</t>
  </si>
  <si>
    <t>Residential building with 7 - 20 dwellings</t>
  </si>
  <si>
    <t>Usage Type: Intensity/ Frequency</t>
  </si>
  <si>
    <t>Elevator Name</t>
  </si>
  <si>
    <t>Elevator ID</t>
  </si>
  <si>
    <t xml:space="preserve">Average Travel Time (hours per day) </t>
  </si>
  <si>
    <t>Application</t>
  </si>
  <si>
    <t xml:space="preserve">Proposed Design </t>
  </si>
  <si>
    <r>
      <rPr>
        <b/>
        <sz val="11"/>
        <color theme="1"/>
        <rFont val="Calibri"/>
        <family val="2"/>
        <scheme val="minor"/>
      </rPr>
      <t xml:space="preserve">Instructions: </t>
    </r>
    <r>
      <rPr>
        <sz val="11"/>
        <color theme="1"/>
        <rFont val="Calibri"/>
        <family val="2"/>
        <scheme val="minor"/>
      </rPr>
      <t>Please fill out the blue cells with the Design and Baseline elevator parameters. The white cells showing results in rows 45-51 will auto populate based on the blue cells.</t>
    </r>
  </si>
  <si>
    <t>bhp</t>
  </si>
  <si>
    <t>Annual Motor Energy Use (kWh/yr)</t>
  </si>
  <si>
    <t>Annual Cabin Fan Energy Use (kWh/Yr)</t>
  </si>
  <si>
    <t>Annual Cabin Lighting Energy Use (kWh/Yr)</t>
  </si>
  <si>
    <t>Passanger or service elevator?</t>
  </si>
  <si>
    <t xml:space="preserve">Buildings and elevator type </t>
  </si>
  <si>
    <t>Cabin Fan Power (Watt)</t>
  </si>
  <si>
    <t>Cabin Airflow (CFM)</t>
  </si>
  <si>
    <t>Cabin Occupancy Sensor Lighting Controls (Y/N)</t>
  </si>
  <si>
    <t>Cabin Lighting Power (Watt)</t>
  </si>
  <si>
    <t>Peak Motor Power per Motor, Pm (kW)</t>
  </si>
  <si>
    <t>Proposed kWh</t>
  </si>
  <si>
    <t>Baseline kWh</t>
  </si>
  <si>
    <t>Annual Motor kWh/yr</t>
  </si>
  <si>
    <t>Annual Fan kWh/Yr</t>
  </si>
  <si>
    <t>Annual Light kWh/Yr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</si>
</sst>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0.0"/>
    <numFmt numFmtId="167" formatCode="_(* #,##0.0_);_(* \(#,##0.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1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9" fontId="0" fillId="0" borderId="1" xfId="2" applyFont="1" applyBorder="1" applyAlignment="1">
      <alignment horizontal="center"/>
    </xf>
    <xf numFmtId="165" fontId="0" fillId="0" borderId="1" xfId="2" applyNumberFormat="1" applyFont="1" applyBorder="1" applyAlignment="1">
      <alignment horizontal="center"/>
    </xf>
    <xf numFmtId="0" fontId="0" fillId="0" borderId="1" xfId="0" applyBorder="1"/>
    <xf numFmtId="0" fontId="0" fillId="2" borderId="1" xfId="0" applyFont="1" applyFill="1" applyBorder="1" applyAlignment="1" applyProtection="1">
      <alignment horizontal="right" vertical="center"/>
      <protection locked="0"/>
    </xf>
    <xf numFmtId="164" fontId="0" fillId="2" borderId="1" xfId="1" applyNumberFormat="1" applyFont="1" applyFill="1" applyBorder="1" applyAlignment="1" applyProtection="1">
      <alignment horizontal="right" vertical="center"/>
      <protection locked="0"/>
    </xf>
    <xf numFmtId="165" fontId="0" fillId="2" borderId="1" xfId="2" applyNumberFormat="1" applyFont="1" applyFill="1" applyBorder="1" applyAlignment="1" applyProtection="1">
      <alignment horizontal="right" vertical="center"/>
      <protection locked="0"/>
    </xf>
    <xf numFmtId="0" fontId="0" fillId="2" borderId="1" xfId="0" applyFont="1" applyFill="1" applyBorder="1" applyAlignment="1" applyProtection="1">
      <alignment horizontal="right" vertical="center" wrapText="1"/>
      <protection locked="0"/>
    </xf>
    <xf numFmtId="0" fontId="0" fillId="0" borderId="0" xfId="0" applyFont="1" applyAlignment="1" applyProtection="1">
      <alignment vertical="center"/>
    </xf>
    <xf numFmtId="0" fontId="0" fillId="0" borderId="0" xfId="0" applyFont="1" applyAlignment="1" applyProtection="1">
      <alignment horizontal="right" vertical="center"/>
    </xf>
    <xf numFmtId="0" fontId="2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right" vertical="center"/>
    </xf>
    <xf numFmtId="0" fontId="0" fillId="4" borderId="1" xfId="0" applyFont="1" applyFill="1" applyBorder="1" applyAlignment="1" applyProtection="1">
      <alignment vertical="center" wrapText="1"/>
    </xf>
    <xf numFmtId="0" fontId="0" fillId="0" borderId="0" xfId="0" applyFont="1" applyFill="1" applyAlignment="1" applyProtection="1">
      <alignment vertical="center"/>
    </xf>
    <xf numFmtId="0" fontId="4" fillId="0" borderId="0" xfId="0" applyFont="1" applyFill="1" applyAlignment="1" applyProtection="1">
      <alignment vertical="center"/>
    </xf>
    <xf numFmtId="166" fontId="0" fillId="0" borderId="1" xfId="0" applyNumberFormat="1" applyFont="1" applyFill="1" applyBorder="1" applyAlignment="1" applyProtection="1">
      <alignment horizontal="right" vertical="center"/>
    </xf>
    <xf numFmtId="164" fontId="0" fillId="0" borderId="1" xfId="1" applyNumberFormat="1" applyFont="1" applyFill="1" applyBorder="1" applyAlignment="1" applyProtection="1">
      <alignment horizontal="right" vertical="center"/>
    </xf>
    <xf numFmtId="43" fontId="0" fillId="0" borderId="1" xfId="1" applyNumberFormat="1" applyFont="1" applyFill="1" applyBorder="1" applyAlignment="1" applyProtection="1">
      <alignment horizontal="right" vertical="center"/>
    </xf>
    <xf numFmtId="0" fontId="4" fillId="0" borderId="0" xfId="0" applyFont="1" applyAlignment="1" applyProtection="1">
      <alignment vertical="center"/>
    </xf>
    <xf numFmtId="165" fontId="5" fillId="0" borderId="1" xfId="2" applyNumberFormat="1" applyFont="1" applyFill="1" applyBorder="1" applyAlignment="1" applyProtection="1">
      <alignment horizontal="right" vertical="center"/>
    </xf>
    <xf numFmtId="165" fontId="0" fillId="0" borderId="1" xfId="2" applyNumberFormat="1" applyFont="1" applyFill="1" applyBorder="1" applyAlignment="1" applyProtection="1">
      <alignment horizontal="right" vertical="center"/>
    </xf>
    <xf numFmtId="167" fontId="0" fillId="0" borderId="1" xfId="1" applyNumberFormat="1" applyFont="1" applyFill="1" applyBorder="1" applyAlignment="1" applyProtection="1">
      <alignment horizontal="right" vertical="center"/>
    </xf>
    <xf numFmtId="164" fontId="0" fillId="0" borderId="0" xfId="0" applyNumberFormat="1" applyFont="1" applyBorder="1" applyAlignment="1" applyProtection="1">
      <alignment horizontal="right" vertical="center"/>
    </xf>
    <xf numFmtId="0" fontId="0" fillId="4" borderId="1" xfId="0" applyFont="1" applyFill="1" applyBorder="1" applyAlignment="1" applyProtection="1">
      <alignment horizontal="center" vertical="center"/>
    </xf>
    <xf numFmtId="0" fontId="0" fillId="4" borderId="7" xfId="0" applyFont="1" applyFill="1" applyBorder="1" applyAlignment="1" applyProtection="1">
      <alignment vertical="center" wrapText="1"/>
    </xf>
    <xf numFmtId="0" fontId="0" fillId="2" borderId="8" xfId="0" applyFont="1" applyFill="1" applyBorder="1" applyAlignment="1" applyProtection="1">
      <alignment horizontal="right" vertical="center"/>
      <protection locked="0"/>
    </xf>
    <xf numFmtId="0" fontId="0" fillId="2" borderId="9" xfId="0" applyFont="1" applyFill="1" applyBorder="1" applyAlignment="1" applyProtection="1">
      <alignment horizontal="right" vertical="center"/>
      <protection locked="0"/>
    </xf>
    <xf numFmtId="0" fontId="0" fillId="4" borderId="10" xfId="0" applyFont="1" applyFill="1" applyBorder="1" applyAlignment="1" applyProtection="1">
      <alignment vertical="center" wrapText="1"/>
    </xf>
    <xf numFmtId="0" fontId="0" fillId="2" borderId="11" xfId="0" applyFont="1" applyFill="1" applyBorder="1" applyAlignment="1" applyProtection="1">
      <alignment horizontal="right" vertical="center"/>
      <protection locked="0"/>
    </xf>
    <xf numFmtId="0" fontId="0" fillId="2" borderId="11" xfId="0" applyFont="1" applyFill="1" applyBorder="1" applyAlignment="1" applyProtection="1">
      <alignment horizontal="right" vertical="center" wrapText="1"/>
      <protection locked="0"/>
    </xf>
    <xf numFmtId="166" fontId="0" fillId="0" borderId="11" xfId="0" applyNumberFormat="1" applyFont="1" applyFill="1" applyBorder="1" applyAlignment="1" applyProtection="1">
      <alignment horizontal="right" vertical="center"/>
    </xf>
    <xf numFmtId="0" fontId="0" fillId="4" borderId="12" xfId="0" applyFont="1" applyFill="1" applyBorder="1" applyAlignment="1" applyProtection="1">
      <alignment vertical="center" wrapText="1"/>
    </xf>
    <xf numFmtId="0" fontId="0" fillId="2" borderId="13" xfId="0" applyFont="1" applyFill="1" applyBorder="1" applyAlignment="1" applyProtection="1">
      <alignment horizontal="right" vertical="center"/>
      <protection locked="0"/>
    </xf>
    <xf numFmtId="0" fontId="0" fillId="2" borderId="14" xfId="0" applyFont="1" applyFill="1" applyBorder="1" applyAlignment="1" applyProtection="1">
      <alignment horizontal="right" vertical="center"/>
      <protection locked="0"/>
    </xf>
    <xf numFmtId="166" fontId="0" fillId="0" borderId="8" xfId="0" applyNumberFormat="1" applyFont="1" applyFill="1" applyBorder="1" applyAlignment="1" applyProtection="1">
      <alignment horizontal="right" vertical="center"/>
    </xf>
    <xf numFmtId="166" fontId="0" fillId="0" borderId="9" xfId="0" applyNumberFormat="1" applyFont="1" applyFill="1" applyBorder="1" applyAlignment="1" applyProtection="1">
      <alignment horizontal="right" vertical="center"/>
    </xf>
    <xf numFmtId="164" fontId="0" fillId="0" borderId="11" xfId="1" applyNumberFormat="1" applyFont="1" applyFill="1" applyBorder="1" applyAlignment="1" applyProtection="1">
      <alignment horizontal="right" vertical="center"/>
    </xf>
    <xf numFmtId="0" fontId="2" fillId="5" borderId="15" xfId="0" applyFont="1" applyFill="1" applyBorder="1" applyAlignment="1" applyProtection="1">
      <alignment horizontal="center" vertical="center"/>
    </xf>
    <xf numFmtId="0" fontId="2" fillId="5" borderId="16" xfId="0" applyFont="1" applyFill="1" applyBorder="1" applyAlignment="1" applyProtection="1">
      <alignment horizontal="center" vertical="center"/>
    </xf>
    <xf numFmtId="0" fontId="2" fillId="5" borderId="17" xfId="0" applyFont="1" applyFill="1" applyBorder="1" applyAlignment="1" applyProtection="1">
      <alignment horizontal="center" vertical="center"/>
    </xf>
    <xf numFmtId="0" fontId="0" fillId="4" borderId="8" xfId="0" applyFont="1" applyFill="1" applyBorder="1" applyAlignment="1" applyProtection="1">
      <alignment vertical="center" wrapText="1"/>
    </xf>
    <xf numFmtId="164" fontId="0" fillId="2" borderId="11" xfId="1" applyNumberFormat="1" applyFont="1" applyFill="1" applyBorder="1" applyAlignment="1" applyProtection="1">
      <alignment horizontal="right" vertical="center"/>
      <protection locked="0"/>
    </xf>
    <xf numFmtId="165" fontId="0" fillId="2" borderId="11" xfId="2" applyNumberFormat="1" applyFont="1" applyFill="1" applyBorder="1" applyAlignment="1" applyProtection="1">
      <alignment horizontal="right" vertical="center"/>
      <protection locked="0"/>
    </xf>
    <xf numFmtId="0" fontId="0" fillId="4" borderId="13" xfId="0" applyFont="1" applyFill="1" applyBorder="1" applyAlignment="1" applyProtection="1">
      <alignment vertical="center" wrapText="1"/>
    </xf>
    <xf numFmtId="43" fontId="0" fillId="0" borderId="11" xfId="1" applyNumberFormat="1" applyFont="1" applyFill="1" applyBorder="1" applyAlignment="1" applyProtection="1">
      <alignment horizontal="right" vertical="center"/>
    </xf>
    <xf numFmtId="165" fontId="5" fillId="0" borderId="11" xfId="2" applyNumberFormat="1" applyFont="1" applyFill="1" applyBorder="1" applyAlignment="1" applyProtection="1">
      <alignment horizontal="right" vertical="center"/>
    </xf>
    <xf numFmtId="165" fontId="0" fillId="0" borderId="11" xfId="2" applyNumberFormat="1" applyFont="1" applyFill="1" applyBorder="1" applyAlignment="1" applyProtection="1">
      <alignment horizontal="right" vertical="center"/>
    </xf>
    <xf numFmtId="167" fontId="0" fillId="0" borderId="11" xfId="1" applyNumberFormat="1" applyFont="1" applyFill="1" applyBorder="1" applyAlignment="1" applyProtection="1">
      <alignment horizontal="right" vertical="center"/>
    </xf>
    <xf numFmtId="0" fontId="2" fillId="3" borderId="10" xfId="0" applyFont="1" applyFill="1" applyBorder="1" applyAlignment="1" applyProtection="1">
      <alignment horizontal="center" vertical="center"/>
    </xf>
    <xf numFmtId="0" fontId="2" fillId="3" borderId="12" xfId="0" applyFont="1" applyFill="1" applyBorder="1" applyAlignment="1" applyProtection="1">
      <alignment horizontal="center" vertical="center"/>
    </xf>
    <xf numFmtId="0" fontId="0" fillId="4" borderId="11" xfId="0" applyFont="1" applyFill="1" applyBorder="1" applyAlignment="1" applyProtection="1">
      <alignment horizontal="center" vertical="center"/>
    </xf>
    <xf numFmtId="167" fontId="0" fillId="0" borderId="1" xfId="0" applyNumberFormat="1" applyFont="1" applyBorder="1" applyAlignment="1" applyProtection="1">
      <alignment horizontal="right" vertical="center"/>
    </xf>
    <xf numFmtId="167" fontId="0" fillId="0" borderId="13" xfId="0" applyNumberFormat="1" applyFont="1" applyBorder="1" applyAlignment="1" applyProtection="1">
      <alignment horizontal="right" vertical="center"/>
    </xf>
    <xf numFmtId="167" fontId="0" fillId="0" borderId="13" xfId="1" applyNumberFormat="1" applyFont="1" applyFill="1" applyBorder="1" applyAlignment="1" applyProtection="1">
      <alignment horizontal="right" vertical="center"/>
    </xf>
    <xf numFmtId="167" fontId="0" fillId="0" borderId="11" xfId="0" applyNumberFormat="1" applyFont="1" applyBorder="1" applyAlignment="1" applyProtection="1">
      <alignment horizontal="right" vertical="center"/>
    </xf>
    <xf numFmtId="167" fontId="0" fillId="0" borderId="14" xfId="0" applyNumberFormat="1" applyFont="1" applyBorder="1" applyAlignment="1" applyProtection="1">
      <alignment horizontal="right" vertical="center"/>
    </xf>
    <xf numFmtId="167" fontId="0" fillId="0" borderId="14" xfId="1" applyNumberFormat="1" applyFont="1" applyFill="1" applyBorder="1" applyAlignment="1" applyProtection="1">
      <alignment horizontal="right" vertical="center"/>
    </xf>
    <xf numFmtId="164" fontId="0" fillId="0" borderId="11" xfId="0" applyNumberFormat="1" applyFont="1" applyBorder="1" applyAlignment="1" applyProtection="1">
      <alignment horizontal="left" vertical="center" indent="1"/>
    </xf>
    <xf numFmtId="164" fontId="0" fillId="0" borderId="14" xfId="0" applyNumberFormat="1" applyFont="1" applyBorder="1" applyAlignment="1" applyProtection="1">
      <alignment horizontal="left" vertical="center" indent="1"/>
    </xf>
    <xf numFmtId="164" fontId="0" fillId="0" borderId="1" xfId="0" applyNumberFormat="1" applyFont="1" applyBorder="1" applyAlignment="1" applyProtection="1">
      <alignment horizontal="center" vertical="center"/>
    </xf>
    <xf numFmtId="164" fontId="0" fillId="0" borderId="13" xfId="0" applyNumberFormat="1" applyFont="1" applyBorder="1" applyAlignment="1" applyProtection="1">
      <alignment horizontal="center" vertical="center"/>
    </xf>
    <xf numFmtId="164" fontId="0" fillId="0" borderId="1" xfId="0" applyNumberFormat="1" applyFont="1" applyBorder="1" applyAlignment="1" applyProtection="1">
      <alignment horizontal="right" vertical="center"/>
    </xf>
    <xf numFmtId="164" fontId="0" fillId="0" borderId="13" xfId="0" applyNumberFormat="1" applyFont="1" applyBorder="1" applyAlignment="1" applyProtection="1">
      <alignment horizontal="right" vertical="center"/>
    </xf>
    <xf numFmtId="164" fontId="0" fillId="0" borderId="13" xfId="1" applyNumberFormat="1" applyFont="1" applyFill="1" applyBorder="1" applyAlignment="1" applyProtection="1">
      <alignment horizontal="right" vertical="center"/>
    </xf>
    <xf numFmtId="0" fontId="2" fillId="0" borderId="0" xfId="0" applyFont="1" applyAlignment="1" applyProtection="1">
      <alignment horizontal="left" vertical="center"/>
    </xf>
    <xf numFmtId="0" fontId="0" fillId="0" borderId="0" xfId="0" applyFont="1" applyAlignment="1" applyProtection="1">
      <alignment horizontal="left" vertical="center" wrapText="1"/>
    </xf>
    <xf numFmtId="0" fontId="2" fillId="3" borderId="21" xfId="0" applyFont="1" applyFill="1" applyBorder="1" applyAlignment="1" applyProtection="1">
      <alignment horizontal="center" vertical="center"/>
    </xf>
    <xf numFmtId="0" fontId="2" fillId="3" borderId="22" xfId="0" applyFont="1" applyFill="1" applyBorder="1" applyAlignment="1" applyProtection="1">
      <alignment horizontal="center" vertical="center"/>
    </xf>
    <xf numFmtId="0" fontId="2" fillId="3" borderId="23" xfId="0" applyFont="1" applyFill="1" applyBorder="1" applyAlignment="1" applyProtection="1">
      <alignment horizontal="center" vertical="center"/>
    </xf>
    <xf numFmtId="0" fontId="2" fillId="3" borderId="10" xfId="0" applyFont="1" applyFill="1" applyBorder="1" applyAlignment="1" applyProtection="1">
      <alignment horizontal="center" vertical="center"/>
    </xf>
    <xf numFmtId="0" fontId="3" fillId="3" borderId="21" xfId="0" applyFont="1" applyFill="1" applyBorder="1" applyAlignment="1" applyProtection="1">
      <alignment horizontal="center" vertical="center"/>
    </xf>
    <xf numFmtId="0" fontId="3" fillId="3" borderId="22" xfId="0" applyFont="1" applyFill="1" applyBorder="1" applyAlignment="1" applyProtection="1">
      <alignment horizontal="center" vertical="center"/>
    </xf>
    <xf numFmtId="0" fontId="3" fillId="3" borderId="23" xfId="0" applyFont="1" applyFill="1" applyBorder="1" applyAlignment="1" applyProtection="1">
      <alignment horizontal="center" vertical="center"/>
    </xf>
    <xf numFmtId="0" fontId="2" fillId="3" borderId="2" xfId="0" applyFont="1" applyFill="1" applyBorder="1" applyAlignment="1" applyProtection="1">
      <alignment horizontal="center" vertical="center"/>
    </xf>
    <xf numFmtId="0" fontId="2" fillId="3" borderId="24" xfId="0" applyFont="1" applyFill="1" applyBorder="1" applyAlignment="1" applyProtection="1">
      <alignment horizontal="center" vertical="center"/>
    </xf>
    <xf numFmtId="0" fontId="2" fillId="3" borderId="25" xfId="0" applyFont="1" applyFill="1" applyBorder="1" applyAlignment="1" applyProtection="1">
      <alignment horizontal="center" vertical="center"/>
    </xf>
    <xf numFmtId="0" fontId="3" fillId="5" borderId="4" xfId="0" applyFont="1" applyFill="1" applyBorder="1" applyAlignment="1" applyProtection="1">
      <alignment horizontal="center" vertical="center" textRotation="90"/>
    </xf>
    <xf numFmtId="0" fontId="3" fillId="5" borderId="5" xfId="0" applyFont="1" applyFill="1" applyBorder="1" applyAlignment="1" applyProtection="1">
      <alignment horizontal="center" vertical="center" textRotation="90"/>
    </xf>
    <xf numFmtId="0" fontId="3" fillId="5" borderId="6" xfId="0" applyFont="1" applyFill="1" applyBorder="1" applyAlignment="1" applyProtection="1">
      <alignment horizontal="center" vertical="center" textRotation="90"/>
    </xf>
    <xf numFmtId="0" fontId="3" fillId="5" borderId="18" xfId="0" applyFont="1" applyFill="1" applyBorder="1" applyAlignment="1" applyProtection="1">
      <alignment horizontal="center" vertical="center" textRotation="90"/>
    </xf>
    <xf numFmtId="0" fontId="3" fillId="5" borderId="19" xfId="0" applyFont="1" applyFill="1" applyBorder="1" applyAlignment="1" applyProtection="1">
      <alignment horizontal="center" vertical="center" textRotation="90"/>
    </xf>
    <xf numFmtId="0" fontId="3" fillId="5" borderId="20" xfId="0" applyFont="1" applyFill="1" applyBorder="1" applyAlignment="1" applyProtection="1">
      <alignment horizontal="center" vertical="center" textRotation="90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225334</xdr:colOff>
      <xdr:row>0</xdr:row>
      <xdr:rowOff>59551</xdr:rowOff>
    </xdr:from>
    <xdr:to>
      <xdr:col>2</xdr:col>
      <xdr:colOff>2570854</xdr:colOff>
      <xdr:row>0</xdr:row>
      <xdr:rowOff>897751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C02E731-F5E5-4ED4-8350-B53A5C446D1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6848" y="59551"/>
          <a:ext cx="2345520" cy="838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56"/>
  <sheetViews>
    <sheetView showGridLines="0" tabSelected="1" zoomScale="70" zoomScaleNormal="70" workbookViewId="0"/>
  </sheetViews>
  <sheetFormatPr defaultColWidth="9.140625" defaultRowHeight="15" x14ac:dyDescent="0.25"/>
  <cols>
    <col min="1" max="1" width="2" style="14" customWidth="1"/>
    <col min="2" max="2" width="3.5703125" style="14" customWidth="1"/>
    <col min="3" max="3" width="52.140625" style="14" customWidth="1"/>
    <col min="4" max="8" width="43.5703125" style="15" customWidth="1"/>
    <col min="9" max="9" width="3.7109375" style="14" customWidth="1"/>
    <col min="10" max="10" width="17.85546875" style="14" customWidth="1"/>
    <col min="11" max="13" width="11.7109375" style="14" customWidth="1"/>
    <col min="14" max="16384" width="9.140625" style="14"/>
  </cols>
  <sheetData>
    <row r="1" spans="2:10" ht="78.599999999999994" customHeight="1" x14ac:dyDescent="0.25"/>
    <row r="2" spans="2:10" x14ac:dyDescent="0.25">
      <c r="C2" s="70" t="s">
        <v>29</v>
      </c>
      <c r="D2" s="70"/>
      <c r="E2" s="70"/>
      <c r="F2" s="70"/>
      <c r="G2" s="70"/>
      <c r="H2" s="70"/>
    </row>
    <row r="3" spans="2:10" x14ac:dyDescent="0.25">
      <c r="C3" s="16" t="s">
        <v>30</v>
      </c>
      <c r="D3" s="17"/>
      <c r="E3" s="17"/>
      <c r="F3" s="17"/>
      <c r="G3" s="17"/>
      <c r="H3" s="17"/>
    </row>
    <row r="5" spans="2:10" x14ac:dyDescent="0.25">
      <c r="C5" s="71" t="s">
        <v>78</v>
      </c>
      <c r="D5" s="71"/>
      <c r="E5" s="71"/>
      <c r="F5" s="71"/>
      <c r="G5" s="71"/>
      <c r="H5" s="71"/>
    </row>
    <row r="6" spans="2:10" ht="15.75" thickBot="1" x14ac:dyDescent="0.3">
      <c r="C6" s="71"/>
      <c r="D6" s="71"/>
      <c r="E6" s="71"/>
      <c r="F6" s="71"/>
      <c r="G6" s="71"/>
      <c r="H6" s="71"/>
    </row>
    <row r="7" spans="2:10" ht="15.75" thickBot="1" x14ac:dyDescent="0.3">
      <c r="C7" s="43" t="s">
        <v>74</v>
      </c>
      <c r="D7" s="44">
        <v>1</v>
      </c>
      <c r="E7" s="44">
        <f>D7+1</f>
        <v>2</v>
      </c>
      <c r="F7" s="44">
        <f t="shared" ref="F7:H7" si="0">E7+1</f>
        <v>3</v>
      </c>
      <c r="G7" s="44">
        <f t="shared" si="0"/>
        <v>4</v>
      </c>
      <c r="H7" s="45">
        <f t="shared" si="0"/>
        <v>5</v>
      </c>
    </row>
    <row r="8" spans="2:10" x14ac:dyDescent="0.25">
      <c r="B8" s="82" t="s">
        <v>76</v>
      </c>
      <c r="C8" s="30" t="s">
        <v>73</v>
      </c>
      <c r="D8" s="31"/>
      <c r="E8" s="31"/>
      <c r="F8" s="31"/>
      <c r="G8" s="31"/>
      <c r="H8" s="32"/>
    </row>
    <row r="9" spans="2:10" x14ac:dyDescent="0.25">
      <c r="B9" s="83"/>
      <c r="C9" s="33" t="s">
        <v>0</v>
      </c>
      <c r="D9" s="10"/>
      <c r="E9" s="10"/>
      <c r="F9" s="10"/>
      <c r="G9" s="10"/>
      <c r="H9" s="34"/>
    </row>
    <row r="10" spans="2:10" x14ac:dyDescent="0.25">
      <c r="B10" s="83"/>
      <c r="C10" s="33" t="s">
        <v>83</v>
      </c>
      <c r="D10" s="10"/>
      <c r="E10" s="10"/>
      <c r="F10" s="10"/>
      <c r="G10" s="10"/>
      <c r="H10" s="34"/>
    </row>
    <row r="11" spans="2:10" x14ac:dyDescent="0.25">
      <c r="B11" s="83"/>
      <c r="C11" s="33" t="s">
        <v>84</v>
      </c>
      <c r="D11" s="13"/>
      <c r="E11" s="13"/>
      <c r="F11" s="13"/>
      <c r="G11" s="13"/>
      <c r="H11" s="35"/>
      <c r="I11" s="20"/>
      <c r="J11" s="19"/>
    </row>
    <row r="12" spans="2:10" x14ac:dyDescent="0.25">
      <c r="B12" s="83"/>
      <c r="C12" s="33" t="s">
        <v>75</v>
      </c>
      <c r="D12" s="21">
        <f>IFERROR(SUMIF('Usage hours'!$B$2:$B$18,'Elevator Calculator'!D11,'Usage hours'!$C$2:$C$18),"-")</f>
        <v>0</v>
      </c>
      <c r="E12" s="21">
        <f>IFERROR(SUMIF('Usage hours'!$B$2:$B$18,'Elevator Calculator'!E11,'Usage hours'!$C$2:$C$18),"-")</f>
        <v>0</v>
      </c>
      <c r="F12" s="21">
        <f>IFERROR(SUMIF('Usage hours'!$B$2:$B$18,'Elevator Calculator'!F11,'Usage hours'!$C$2:$C$18),"-")</f>
        <v>0</v>
      </c>
      <c r="G12" s="21">
        <f>IFERROR(SUMIF('Usage hours'!$B$2:$B$18,'Elevator Calculator'!G11,'Usage hours'!$C$2:$C$18),"-")</f>
        <v>0</v>
      </c>
      <c r="H12" s="36">
        <f>IFERROR(SUMIF('Usage hours'!$B$2:$B$18,'Elevator Calculator'!H11,'Usage hours'!$C$2:$C$18),"-")</f>
        <v>0</v>
      </c>
    </row>
    <row r="13" spans="2:10" x14ac:dyDescent="0.25">
      <c r="B13" s="83"/>
      <c r="C13" s="33" t="s">
        <v>72</v>
      </c>
      <c r="D13" s="21" t="str">
        <f>IFERROR(VLOOKUP(D12,'Usage hours'!$E$2:$F$6,2,FALSE),"-")</f>
        <v>-</v>
      </c>
      <c r="E13" s="21" t="str">
        <f>IFERROR(VLOOKUP(E12,'Usage hours'!$E$2:$F$6,2,FALSE),"-")</f>
        <v>-</v>
      </c>
      <c r="F13" s="21" t="str">
        <f>IFERROR(VLOOKUP(F12,'Usage hours'!$E$2:$F$6,2,FALSE),"-")</f>
        <v>-</v>
      </c>
      <c r="G13" s="21" t="str">
        <f>IFERROR(VLOOKUP(G12,'Usage hours'!$E$2:$F$6,2,FALSE),"-")</f>
        <v>-</v>
      </c>
      <c r="H13" s="36" t="str">
        <f>IFERROR(VLOOKUP(H12,'Usage hours'!$E$2:$F$6,2,FALSE),"-")</f>
        <v>-</v>
      </c>
    </row>
    <row r="14" spans="2:10" ht="15.75" thickBot="1" x14ac:dyDescent="0.3">
      <c r="B14" s="84"/>
      <c r="C14" s="37" t="s">
        <v>42</v>
      </c>
      <c r="D14" s="38"/>
      <c r="E14" s="38"/>
      <c r="F14" s="38"/>
      <c r="G14" s="38"/>
      <c r="H14" s="39"/>
    </row>
    <row r="15" spans="2:10" x14ac:dyDescent="0.25">
      <c r="B15" s="85" t="s">
        <v>77</v>
      </c>
      <c r="C15" s="46" t="s">
        <v>45</v>
      </c>
      <c r="D15" s="31"/>
      <c r="E15" s="31"/>
      <c r="F15" s="31"/>
      <c r="G15" s="31"/>
      <c r="H15" s="32"/>
    </row>
    <row r="16" spans="2:10" x14ac:dyDescent="0.25">
      <c r="B16" s="86"/>
      <c r="C16" s="18" t="s">
        <v>17</v>
      </c>
      <c r="D16" s="11"/>
      <c r="E16" s="11"/>
      <c r="F16" s="11"/>
      <c r="G16" s="11"/>
      <c r="H16" s="47"/>
    </row>
    <row r="17" spans="2:10" x14ac:dyDescent="0.25">
      <c r="B17" s="86"/>
      <c r="C17" s="18" t="s">
        <v>18</v>
      </c>
      <c r="D17" s="11"/>
      <c r="E17" s="11"/>
      <c r="F17" s="11"/>
      <c r="G17" s="11"/>
      <c r="H17" s="47"/>
    </row>
    <row r="18" spans="2:10" x14ac:dyDescent="0.25">
      <c r="B18" s="86"/>
      <c r="C18" s="18" t="s">
        <v>20</v>
      </c>
      <c r="D18" s="11"/>
      <c r="E18" s="11"/>
      <c r="F18" s="11"/>
      <c r="G18" s="11"/>
      <c r="H18" s="47"/>
    </row>
    <row r="19" spans="2:10" x14ac:dyDescent="0.25">
      <c r="B19" s="86"/>
      <c r="C19" s="18" t="s">
        <v>79</v>
      </c>
      <c r="D19" s="10"/>
      <c r="E19" s="10"/>
      <c r="F19" s="10"/>
      <c r="G19" s="10"/>
      <c r="H19" s="34"/>
    </row>
    <row r="20" spans="2:10" x14ac:dyDescent="0.25">
      <c r="B20" s="86"/>
      <c r="C20" s="18" t="s">
        <v>14</v>
      </c>
      <c r="D20" s="12"/>
      <c r="E20" s="12"/>
      <c r="F20" s="12"/>
      <c r="G20" s="12"/>
      <c r="H20" s="48"/>
    </row>
    <row r="21" spans="2:10" x14ac:dyDescent="0.25">
      <c r="B21" s="86"/>
      <c r="C21" s="18" t="s">
        <v>85</v>
      </c>
      <c r="D21" s="10"/>
      <c r="E21" s="10"/>
      <c r="F21" s="10"/>
      <c r="G21" s="10"/>
      <c r="H21" s="34"/>
    </row>
    <row r="22" spans="2:10" x14ac:dyDescent="0.25">
      <c r="B22" s="86"/>
      <c r="C22" s="18" t="s">
        <v>86</v>
      </c>
      <c r="D22" s="10"/>
      <c r="E22" s="10"/>
      <c r="F22" s="10"/>
      <c r="G22" s="10"/>
      <c r="H22" s="34"/>
    </row>
    <row r="23" spans="2:10" x14ac:dyDescent="0.25">
      <c r="B23" s="86"/>
      <c r="C23" s="18" t="s">
        <v>88</v>
      </c>
      <c r="D23" s="10"/>
      <c r="E23" s="10"/>
      <c r="F23" s="10"/>
      <c r="G23" s="10"/>
      <c r="H23" s="34"/>
    </row>
    <row r="24" spans="2:10" x14ac:dyDescent="0.25">
      <c r="B24" s="86"/>
      <c r="C24" s="18" t="s">
        <v>87</v>
      </c>
      <c r="D24" s="10"/>
      <c r="E24" s="10"/>
      <c r="F24" s="10"/>
      <c r="G24" s="10"/>
      <c r="H24" s="34"/>
      <c r="I24" s="19"/>
      <c r="J24" s="19"/>
    </row>
    <row r="25" spans="2:10" ht="15.75" thickBot="1" x14ac:dyDescent="0.3">
      <c r="B25" s="87"/>
      <c r="C25" s="49" t="s">
        <v>32</v>
      </c>
      <c r="D25" s="38"/>
      <c r="E25" s="38"/>
      <c r="F25" s="38"/>
      <c r="G25" s="38"/>
      <c r="H25" s="39"/>
      <c r="I25" s="20"/>
      <c r="J25" s="19"/>
    </row>
    <row r="26" spans="2:10" ht="25.15" customHeight="1" x14ac:dyDescent="0.25">
      <c r="B26" s="82" t="s">
        <v>90</v>
      </c>
      <c r="C26" s="30" t="s">
        <v>89</v>
      </c>
      <c r="D26" s="40" t="str">
        <f>IFERROR(ROUND((D19/D20*0.746),1),"")</f>
        <v/>
      </c>
      <c r="E26" s="40" t="str">
        <f t="shared" ref="E26:H26" si="1">IFERROR(ROUND((E19/E20*0.746),1),"")</f>
        <v/>
      </c>
      <c r="F26" s="40" t="str">
        <f t="shared" si="1"/>
        <v/>
      </c>
      <c r="G26" s="40" t="str">
        <f t="shared" si="1"/>
        <v/>
      </c>
      <c r="H26" s="41" t="str">
        <f t="shared" si="1"/>
        <v/>
      </c>
    </row>
    <row r="27" spans="2:10" ht="25.15" customHeight="1" x14ac:dyDescent="0.25">
      <c r="B27" s="83"/>
      <c r="C27" s="33" t="s">
        <v>80</v>
      </c>
      <c r="D27" s="22" t="str">
        <f>IFERROR(ROUND((D26*D12*365*D9),1),"")</f>
        <v/>
      </c>
      <c r="E27" s="22" t="str">
        <f t="shared" ref="E27:H27" si="2">IFERROR(ROUND((E26*E12*365*E9),1),"")</f>
        <v/>
      </c>
      <c r="F27" s="27" t="str">
        <f t="shared" si="2"/>
        <v/>
      </c>
      <c r="G27" s="27" t="str">
        <f t="shared" si="2"/>
        <v/>
      </c>
      <c r="H27" s="53" t="str">
        <f t="shared" si="2"/>
        <v/>
      </c>
    </row>
    <row r="28" spans="2:10" ht="27" customHeight="1" x14ac:dyDescent="0.25">
      <c r="B28" s="83"/>
      <c r="C28" s="33" t="s">
        <v>81</v>
      </c>
      <c r="D28" s="22">
        <f>IFERROR(ROUND((D21/1000*24*365*D9),1),"")</f>
        <v>0</v>
      </c>
      <c r="E28" s="22">
        <f t="shared" ref="E28:H28" si="3">IFERROR(ROUND((E21/1000*24*365*E9),1),"")</f>
        <v>0</v>
      </c>
      <c r="F28" s="27">
        <f t="shared" si="3"/>
        <v>0</v>
      </c>
      <c r="G28" s="27">
        <f t="shared" si="3"/>
        <v>0</v>
      </c>
      <c r="H28" s="53">
        <f t="shared" si="3"/>
        <v>0</v>
      </c>
    </row>
    <row r="29" spans="2:10" ht="27" customHeight="1" thickBot="1" x14ac:dyDescent="0.3">
      <c r="B29" s="84"/>
      <c r="C29" s="37" t="s">
        <v>82</v>
      </c>
      <c r="D29" s="69">
        <f>IFERROR(ROUND(IF(D24="Yes",(D23/1000*D12*365*D9),(D23/1000*24*365*D9)),1),"")</f>
        <v>0</v>
      </c>
      <c r="E29" s="69">
        <f t="shared" ref="E29:H29" si="4">IFERROR(ROUND(IF(E24="Yes",(E23/1000*E12*365*E9),(E23/1000*24*365*E9)),1),"")</f>
        <v>0</v>
      </c>
      <c r="F29" s="59">
        <f t="shared" si="4"/>
        <v>0</v>
      </c>
      <c r="G29" s="59">
        <f t="shared" si="4"/>
        <v>0</v>
      </c>
      <c r="H29" s="62">
        <f t="shared" si="4"/>
        <v>0</v>
      </c>
    </row>
    <row r="30" spans="2:10" ht="14.45" customHeight="1" x14ac:dyDescent="0.25">
      <c r="B30" s="82" t="s">
        <v>91</v>
      </c>
      <c r="C30" s="72" t="s">
        <v>16</v>
      </c>
      <c r="D30" s="73"/>
      <c r="E30" s="73"/>
      <c r="F30" s="73"/>
      <c r="G30" s="73"/>
      <c r="H30" s="74"/>
    </row>
    <row r="31" spans="2:10" x14ac:dyDescent="0.25">
      <c r="B31" s="83"/>
      <c r="C31" s="33" t="s">
        <v>34</v>
      </c>
      <c r="D31" s="23" t="str">
        <f>IF(D9="","-",3.14)</f>
        <v>-</v>
      </c>
      <c r="E31" s="23" t="str">
        <f>IF(E9="","-",3.14)</f>
        <v>-</v>
      </c>
      <c r="F31" s="23" t="str">
        <f>IF(F9="","-",3.14)</f>
        <v>-</v>
      </c>
      <c r="G31" s="23" t="str">
        <f>IF(G9="","-",3.14)</f>
        <v>-</v>
      </c>
      <c r="H31" s="50" t="str">
        <f>IF(H9="","-",3.14)</f>
        <v>-</v>
      </c>
    </row>
    <row r="32" spans="2:10" x14ac:dyDescent="0.25">
      <c r="B32" s="83"/>
      <c r="C32" s="33" t="s">
        <v>33</v>
      </c>
      <c r="D32" s="23" t="str">
        <f>IF(D9="","-",0.33)</f>
        <v>-</v>
      </c>
      <c r="E32" s="23" t="str">
        <f>IF(E9="","-",0.33)</f>
        <v>-</v>
      </c>
      <c r="F32" s="23" t="str">
        <f>IF(F9="","-",0.33)</f>
        <v>-</v>
      </c>
      <c r="G32" s="23" t="str">
        <f>IF(G9="","-",0.33)</f>
        <v>-</v>
      </c>
      <c r="H32" s="50" t="str">
        <f>IF(H9="","-",0.33)</f>
        <v>-</v>
      </c>
    </row>
    <row r="33" spans="2:16" x14ac:dyDescent="0.25">
      <c r="B33" s="83"/>
      <c r="C33" s="33" t="s">
        <v>35</v>
      </c>
      <c r="D33" s="23" t="str">
        <f>IF(D14&gt;4,"Traction",IF(D14="","-","Hydraulic"))</f>
        <v>-</v>
      </c>
      <c r="E33" s="23" t="str">
        <f>IF(E14&gt;4,"Traction",IF(E14="","-","Hydraulic"))</f>
        <v>-</v>
      </c>
      <c r="F33" s="23" t="str">
        <f>IF(F14&gt;4,"Traction",IF(F14="","-","Hydraulic"))</f>
        <v>-</v>
      </c>
      <c r="G33" s="23" t="str">
        <f>IF(G14&gt;4,"Traction",IF(G14="","-","Hydraulic"))</f>
        <v>-</v>
      </c>
      <c r="H33" s="50" t="str">
        <f>IF(H14&gt;4,"Traction",IF(H14="","-","Hydraulic"))</f>
        <v>-</v>
      </c>
      <c r="L33" s="24"/>
    </row>
    <row r="34" spans="2:16" x14ac:dyDescent="0.25">
      <c r="B34" s="83"/>
      <c r="C34" s="33" t="s">
        <v>19</v>
      </c>
      <c r="D34" s="22">
        <f>IF(D15="",D16+0.4*D17,D15)</f>
        <v>0</v>
      </c>
      <c r="E34" s="22">
        <f>IF(E15="",E16+0.4*E17,E15)</f>
        <v>0</v>
      </c>
      <c r="F34" s="22">
        <f>IF(F15="",F16+0.4*F17,F15)</f>
        <v>0</v>
      </c>
      <c r="G34" s="22">
        <f>IF(G15="",G16+0.4*G17,G15)</f>
        <v>0</v>
      </c>
      <c r="H34" s="42">
        <f>IF(H15="",H16+0.4*H17,H15)</f>
        <v>0</v>
      </c>
      <c r="M34" s="24"/>
    </row>
    <row r="35" spans="2:16" ht="30" x14ac:dyDescent="0.25">
      <c r="B35" s="83"/>
      <c r="C35" s="33" t="s">
        <v>47</v>
      </c>
      <c r="D35" s="25" t="str">
        <f>IF(D33="Traction",0.64,IF(D33="Hydraulic",0.58,"-"))</f>
        <v>-</v>
      </c>
      <c r="E35" s="25" t="str">
        <f t="shared" ref="E35:H35" si="5">IF(E33="Traction",0.64,IF(E33="Hydraulic",0.58,"-"))</f>
        <v>-</v>
      </c>
      <c r="F35" s="25" t="str">
        <f t="shared" si="5"/>
        <v>-</v>
      </c>
      <c r="G35" s="25" t="str">
        <f t="shared" si="5"/>
        <v>-</v>
      </c>
      <c r="H35" s="51" t="str">
        <f t="shared" si="5"/>
        <v>-</v>
      </c>
      <c r="P35" s="24"/>
    </row>
    <row r="36" spans="2:16" x14ac:dyDescent="0.25">
      <c r="B36" s="83"/>
      <c r="C36" s="33" t="s">
        <v>79</v>
      </c>
      <c r="D36" s="27" t="str">
        <f>IFERROR(ROUND(((D16+D17-D34)*D18/(33000*D35)),1),"")</f>
        <v/>
      </c>
      <c r="E36" s="27" t="str">
        <f>IFERROR(ROUND(((E16+E17-E34)*E18/(33000*E35)),1),"")</f>
        <v/>
      </c>
      <c r="F36" s="22" t="str">
        <f>IFERROR(((F16+F17-F34)*F18/(33000*F35)),"")</f>
        <v/>
      </c>
      <c r="G36" s="22" t="str">
        <f>IFERROR(((G16+G17-G34)*G18/(33000*G35)),"")</f>
        <v/>
      </c>
      <c r="H36" s="42" t="str">
        <f>IFERROR(((H16+H17-H34)*H18/(33000*H35)),"")</f>
        <v/>
      </c>
    </row>
    <row r="37" spans="2:16" ht="14.45" hidden="1" customHeight="1" x14ac:dyDescent="0.25">
      <c r="B37" s="83"/>
      <c r="C37" s="33" t="s">
        <v>43</v>
      </c>
      <c r="D37" s="26" t="str">
        <f>IF(D36="","",IF(D36&lt;='Motor Efficiency'!$B$13,'Motor Efficiency'!$C$13,IF('Elevator Calculator'!D36&lt;='Motor Efficiency'!$B$14,'Motor Efficiency'!$C$14,IF('Elevator Calculator'!D36&lt;='Motor Efficiency'!$B$15,'Motor Efficiency'!$C$15,IF('Elevator Calculator'!D36&lt;='Motor Efficiency'!$B$16,'Motor Efficiency'!$C$16,IF('Elevator Calculator'!D36&lt;='Motor Efficiency'!$B$17,'Motor Efficiency'!$C$17,IF('Elevator Calculator'!D36&lt;='Motor Efficiency'!$B$18,'Motor Efficiency'!$C$18,IF('Elevator Calculator'!D36&lt;='Motor Efficiency'!$B$19,'Motor Efficiency'!$C$19,IF('Elevator Calculator'!D36&lt;='Motor Efficiency'!$B$20,'Motor Efficiency'!$C$20,IF('Elevator Calculator'!D36&lt;='Motor Efficiency'!$B$21,'Motor Efficiency'!$C$21,IF('Elevator Calculator'!D36&lt;='Motor Efficiency'!$B$22,'Motor Efficiency'!$C$22,IF('Elevator Calculator'!D36&lt;='Motor Efficiency'!$B$23,'Motor Efficiency'!$C$23,IF('Elevator Calculator'!D36&lt;='Motor Efficiency'!$B$24,'Motor Efficiency'!$C$24,IF('Elevator Calculator'!D36&lt;='Motor Efficiency'!$B$25,'Motor Efficiency'!$C$25,IF('Elevator Calculator'!D36&lt;='Motor Efficiency'!$B$26,'Motor Efficiency'!$C$26,IF('Elevator Calculator'!D36&lt;='Motor Efficiency'!$B$27,'Motor Efficiency'!$C$27,IF('Elevator Calculator'!D36&lt;='Motor Efficiency'!$B$28,'Motor Efficiency'!$C$28,IF('Elevator Calculator'!D36&lt;='Motor Efficiency'!$B$29,'Motor Efficiency'!$C$29,IF('Elevator Calculator'!D36&lt;='Motor Efficiency'!$B$30,'Motor Efficiency'!$C$30,IF('Elevator Calculator'!D36&lt;='Motor Efficiency'!$B$31,'Motor Efficiency'!$C$31,IF('Elevator Calculator'!D36&gt;'Motor Efficiency'!$B$31,'Motor Efficiency'!$C$31)))))))))))))))))))))</f>
        <v/>
      </c>
      <c r="E37" s="26" t="str">
        <f>IF(E36="","",IF(E36&lt;='Motor Efficiency'!$B$13,'Motor Efficiency'!$C$13,IF('Elevator Calculator'!E36&lt;='Motor Efficiency'!$B$14,'Motor Efficiency'!$C$14,IF('Elevator Calculator'!E36&lt;='Motor Efficiency'!$B$15,'Motor Efficiency'!$C$15,IF('Elevator Calculator'!E36&lt;='Motor Efficiency'!$B$16,'Motor Efficiency'!$C$16,IF('Elevator Calculator'!E36&lt;='Motor Efficiency'!$B$17,'Motor Efficiency'!$C$17,IF('Elevator Calculator'!E36&lt;='Motor Efficiency'!$B$18,'Motor Efficiency'!$C$18,IF('Elevator Calculator'!E36&lt;='Motor Efficiency'!$B$19,'Motor Efficiency'!$C$19,IF('Elevator Calculator'!E36&lt;='Motor Efficiency'!$B$20,'Motor Efficiency'!$C$20,IF('Elevator Calculator'!E36&lt;='Motor Efficiency'!$B$21,'Motor Efficiency'!$C$21,IF('Elevator Calculator'!E36&lt;='Motor Efficiency'!$B$22,'Motor Efficiency'!$C$22,IF('Elevator Calculator'!E36&lt;='Motor Efficiency'!$B$23,'Motor Efficiency'!$C$23,IF('Elevator Calculator'!E36&lt;='Motor Efficiency'!$B$24,'Motor Efficiency'!$C$24,IF('Elevator Calculator'!E36&lt;='Motor Efficiency'!$B$25,'Motor Efficiency'!$C$25,IF('Elevator Calculator'!E36&lt;='Motor Efficiency'!$B$26,'Motor Efficiency'!$C$26,IF('Elevator Calculator'!E36&lt;='Motor Efficiency'!$B$27,'Motor Efficiency'!$C$27,IF('Elevator Calculator'!E36&lt;='Motor Efficiency'!$B$28,'Motor Efficiency'!$C$28,IF('Elevator Calculator'!E36&lt;='Motor Efficiency'!$B$29,'Motor Efficiency'!$C$29,IF('Elevator Calculator'!E36&lt;='Motor Efficiency'!$B$30,'Motor Efficiency'!$C$30,IF('Elevator Calculator'!E36&lt;='Motor Efficiency'!$B$31,'Motor Efficiency'!$C$31,IF('Elevator Calculator'!E36&gt;'Motor Efficiency'!$B$31,'Motor Efficiency'!$C$31)))))))))))))))))))))</f>
        <v/>
      </c>
      <c r="F37" s="26" t="str">
        <f>IF(F36="","",IF(F36&lt;='Motor Efficiency'!$B$13,'Motor Efficiency'!$C$13,IF('Elevator Calculator'!F36&lt;='Motor Efficiency'!$B$14,'Motor Efficiency'!$C$14,IF('Elevator Calculator'!F36&lt;='Motor Efficiency'!$B$15,'Motor Efficiency'!$C$15,IF('Elevator Calculator'!F36&lt;='Motor Efficiency'!$B$16,'Motor Efficiency'!$C$16,IF('Elevator Calculator'!F36&lt;='Motor Efficiency'!$B$17,'Motor Efficiency'!$C$17,IF('Elevator Calculator'!F36&lt;='Motor Efficiency'!$B$18,'Motor Efficiency'!$C$18,IF('Elevator Calculator'!F36&lt;='Motor Efficiency'!$B$19,'Motor Efficiency'!$C$19,IF('Elevator Calculator'!F36&lt;='Motor Efficiency'!$B$20,'Motor Efficiency'!$C$20,IF('Elevator Calculator'!F36&lt;='Motor Efficiency'!$B$21,'Motor Efficiency'!$C$21,IF('Elevator Calculator'!F36&lt;='Motor Efficiency'!$B$22,'Motor Efficiency'!$C$22,IF('Elevator Calculator'!F36&lt;='Motor Efficiency'!$B$23,'Motor Efficiency'!$C$23,IF('Elevator Calculator'!F36&lt;='Motor Efficiency'!$B$24,'Motor Efficiency'!$C$24,IF('Elevator Calculator'!F36&lt;='Motor Efficiency'!$B$25,'Motor Efficiency'!$C$25,IF('Elevator Calculator'!F36&lt;='Motor Efficiency'!$B$26,'Motor Efficiency'!$C$26,IF('Elevator Calculator'!F36&lt;='Motor Efficiency'!$B$27,'Motor Efficiency'!$C$27,IF('Elevator Calculator'!F36&lt;='Motor Efficiency'!$B$28,'Motor Efficiency'!$C$28,IF('Elevator Calculator'!F36&lt;='Motor Efficiency'!$B$29,'Motor Efficiency'!$C$29,IF('Elevator Calculator'!F36&lt;='Motor Efficiency'!$B$30,'Motor Efficiency'!$C$30,IF('Elevator Calculator'!F36&lt;='Motor Efficiency'!$B$31,'Motor Efficiency'!$C$31,IF('Elevator Calculator'!F36&gt;'Motor Efficiency'!$B$31,'Motor Efficiency'!$C$31)))))))))))))))))))))</f>
        <v/>
      </c>
      <c r="G37" s="26" t="str">
        <f>IF(G36="","",IF(G36&lt;='Motor Efficiency'!$B$13,'Motor Efficiency'!$C$13,IF('Elevator Calculator'!G36&lt;='Motor Efficiency'!$B$14,'Motor Efficiency'!$C$14,IF('Elevator Calculator'!G36&lt;='Motor Efficiency'!$B$15,'Motor Efficiency'!$C$15,IF('Elevator Calculator'!G36&lt;='Motor Efficiency'!$B$16,'Motor Efficiency'!$C$16,IF('Elevator Calculator'!G36&lt;='Motor Efficiency'!$B$17,'Motor Efficiency'!$C$17,IF('Elevator Calculator'!G36&lt;='Motor Efficiency'!$B$18,'Motor Efficiency'!$C$18,IF('Elevator Calculator'!G36&lt;='Motor Efficiency'!$B$19,'Motor Efficiency'!$C$19,IF('Elevator Calculator'!G36&lt;='Motor Efficiency'!$B$20,'Motor Efficiency'!$C$20,IF('Elevator Calculator'!G36&lt;='Motor Efficiency'!$B$21,'Motor Efficiency'!$C$21,IF('Elevator Calculator'!G36&lt;='Motor Efficiency'!$B$22,'Motor Efficiency'!$C$22,IF('Elevator Calculator'!G36&lt;='Motor Efficiency'!$B$23,'Motor Efficiency'!$C$23,IF('Elevator Calculator'!G36&lt;='Motor Efficiency'!$B$24,'Motor Efficiency'!$C$24,IF('Elevator Calculator'!G36&lt;='Motor Efficiency'!$B$25,'Motor Efficiency'!$C$25,IF('Elevator Calculator'!G36&lt;='Motor Efficiency'!$B$26,'Motor Efficiency'!$C$26,IF('Elevator Calculator'!G36&lt;='Motor Efficiency'!$B$27,'Motor Efficiency'!$C$27,IF('Elevator Calculator'!G36&lt;='Motor Efficiency'!$B$28,'Motor Efficiency'!$C$28,IF('Elevator Calculator'!G36&lt;='Motor Efficiency'!$B$29,'Motor Efficiency'!$C$29,IF('Elevator Calculator'!G36&lt;='Motor Efficiency'!$B$30,'Motor Efficiency'!$C$30,IF('Elevator Calculator'!G36&lt;='Motor Efficiency'!$B$31,'Motor Efficiency'!$C$31,IF('Elevator Calculator'!G36&gt;'Motor Efficiency'!$B$31,'Motor Efficiency'!$C$31)))))))))))))))))))))</f>
        <v/>
      </c>
      <c r="H37" s="52" t="str">
        <f>IF(H36="","",IF(H36&lt;='Motor Efficiency'!$B$13,'Motor Efficiency'!$C$13,IF('Elevator Calculator'!H36&lt;='Motor Efficiency'!$B$14,'Motor Efficiency'!$C$14,IF('Elevator Calculator'!H36&lt;='Motor Efficiency'!$B$15,'Motor Efficiency'!$C$15,IF('Elevator Calculator'!H36&lt;='Motor Efficiency'!$B$16,'Motor Efficiency'!$C$16,IF('Elevator Calculator'!H36&lt;='Motor Efficiency'!$B$17,'Motor Efficiency'!$C$17,IF('Elevator Calculator'!H36&lt;='Motor Efficiency'!$B$18,'Motor Efficiency'!$C$18,IF('Elevator Calculator'!H36&lt;='Motor Efficiency'!$B$19,'Motor Efficiency'!$C$19,IF('Elevator Calculator'!H36&lt;='Motor Efficiency'!$B$20,'Motor Efficiency'!$C$20,IF('Elevator Calculator'!H36&lt;='Motor Efficiency'!$B$21,'Motor Efficiency'!$C$21,IF('Elevator Calculator'!H36&lt;='Motor Efficiency'!$B$22,'Motor Efficiency'!$C$22,IF('Elevator Calculator'!H36&lt;='Motor Efficiency'!$B$23,'Motor Efficiency'!$C$23,IF('Elevator Calculator'!H36&lt;='Motor Efficiency'!$B$24,'Motor Efficiency'!$C$24,IF('Elevator Calculator'!H36&lt;='Motor Efficiency'!$B$25,'Motor Efficiency'!$C$25,IF('Elevator Calculator'!H36&lt;='Motor Efficiency'!$B$26,'Motor Efficiency'!$C$26,IF('Elevator Calculator'!H36&lt;='Motor Efficiency'!$B$27,'Motor Efficiency'!$C$27,IF('Elevator Calculator'!H36&lt;='Motor Efficiency'!$B$28,'Motor Efficiency'!$C$28,IF('Elevator Calculator'!H36&lt;='Motor Efficiency'!$B$29,'Motor Efficiency'!$C$29,IF('Elevator Calculator'!H36&lt;='Motor Efficiency'!$B$30,'Motor Efficiency'!$C$30,IF('Elevator Calculator'!H36&lt;='Motor Efficiency'!$B$31,'Motor Efficiency'!$C$31,IF('Elevator Calculator'!H36&gt;'Motor Efficiency'!$B$31,'Motor Efficiency'!$C$31)))))))))))))))))))))</f>
        <v/>
      </c>
    </row>
    <row r="38" spans="2:16" ht="14.45" hidden="1" customHeight="1" x14ac:dyDescent="0.25">
      <c r="B38" s="83"/>
      <c r="C38" s="33" t="s">
        <v>44</v>
      </c>
      <c r="D38" s="26" t="str">
        <f>IF(D36="","",IF(D36&lt;='Motor Efficiency'!$B$4,'Motor Efficiency'!$C$4,IF(D36&lt;='Motor Efficiency'!$B$5,'Motor Efficiency'!$C$5,IF(D36&lt;='Motor Efficiency'!$B$6,'Motor Efficiency'!$C$6,IF(D36&lt;='Motor Efficiency'!$B$7,'Motor Efficiency'!$C$7,IF(D36&lt;='Motor Efficiency'!$B$8,'Motor Efficiency'!$C$8,IF(D36&gt;'Motor Efficiency'!$B$8,'Motor Efficiency'!$C$8)))))))</f>
        <v/>
      </c>
      <c r="E38" s="26" t="str">
        <f>IF(E36="","",IF(E36&lt;='Motor Efficiency'!$B$4,'Motor Efficiency'!$C$4,IF(E36&lt;='Motor Efficiency'!$B$5,'Motor Efficiency'!$C$5,IF(E36&lt;='Motor Efficiency'!$B$6,'Motor Efficiency'!$C$6,IF(E36&lt;='Motor Efficiency'!$B$7,'Motor Efficiency'!$C$7,IF(E36&lt;='Motor Efficiency'!$B$8,'Motor Efficiency'!$C$8,IF(E36&gt;'Motor Efficiency'!$B$8,'Motor Efficiency'!$C$8)))))))</f>
        <v/>
      </c>
      <c r="F38" s="26" t="str">
        <f>IF(F36="","",IF(F36&lt;='Motor Efficiency'!$B$4,'Motor Efficiency'!$C$4,IF(F36&lt;='Motor Efficiency'!$B$5,'Motor Efficiency'!$C$5,IF(F36&lt;='Motor Efficiency'!$B$6,'Motor Efficiency'!$C$6,IF(F36&lt;='Motor Efficiency'!$B$7,'Motor Efficiency'!$C$7,IF(F36&lt;='Motor Efficiency'!$B$8,'Motor Efficiency'!$C$8,IF(F36&gt;'Motor Efficiency'!$B$8,'Motor Efficiency'!$C$8)))))))</f>
        <v/>
      </c>
      <c r="G38" s="26" t="str">
        <f>IF(G36="","",IF(G36&lt;='Motor Efficiency'!$B$4,'Motor Efficiency'!$C$4,IF(G36&lt;='Motor Efficiency'!$B$5,'Motor Efficiency'!$C$5,IF(G36&lt;='Motor Efficiency'!$B$6,'Motor Efficiency'!$C$6,IF(G36&lt;='Motor Efficiency'!$B$7,'Motor Efficiency'!$C$7,IF(G36&lt;='Motor Efficiency'!$B$8,'Motor Efficiency'!$C$8,IF(G36&gt;'Motor Efficiency'!$B$8,'Motor Efficiency'!$C$8)))))))</f>
        <v/>
      </c>
      <c r="H38" s="52" t="str">
        <f>IF(H36="","",IF(H36&lt;='Motor Efficiency'!$B$4,'Motor Efficiency'!$C$4,IF(H36&lt;='Motor Efficiency'!$B$5,'Motor Efficiency'!$C$5,IF(H36&lt;='Motor Efficiency'!$B$6,'Motor Efficiency'!$C$6,IF(H36&lt;='Motor Efficiency'!$B$7,'Motor Efficiency'!$C$7,IF(H36&lt;='Motor Efficiency'!$B$8,'Motor Efficiency'!$C$8,IF(H36&gt;'Motor Efficiency'!$B$8,'Motor Efficiency'!$C$8)))))))</f>
        <v/>
      </c>
    </row>
    <row r="39" spans="2:16" ht="30" x14ac:dyDescent="0.25">
      <c r="B39" s="83"/>
      <c r="C39" s="33" t="s">
        <v>46</v>
      </c>
      <c r="D39" s="26" t="str">
        <f>IF(D33="Traction",D37,D38)</f>
        <v/>
      </c>
      <c r="E39" s="26" t="str">
        <f t="shared" ref="E39:H39" si="6">IF(E33="Traction",E37,E38)</f>
        <v/>
      </c>
      <c r="F39" s="26" t="str">
        <f t="shared" si="6"/>
        <v/>
      </c>
      <c r="G39" s="26" t="str">
        <f t="shared" si="6"/>
        <v/>
      </c>
      <c r="H39" s="52" t="str">
        <f t="shared" si="6"/>
        <v/>
      </c>
      <c r="M39" s="24"/>
    </row>
    <row r="40" spans="2:16" x14ac:dyDescent="0.25">
      <c r="B40" s="83"/>
      <c r="C40" s="33" t="s">
        <v>89</v>
      </c>
      <c r="D40" s="27" t="str">
        <f>IFERROR(ROUND((D36*746/D39/1000),1),"")</f>
        <v/>
      </c>
      <c r="E40" s="27" t="str">
        <f t="shared" ref="E40:H40" si="7">IFERROR(ROUND((E36*746/E39/1000),1),"")</f>
        <v/>
      </c>
      <c r="F40" s="27" t="str">
        <f t="shared" si="7"/>
        <v/>
      </c>
      <c r="G40" s="27" t="str">
        <f t="shared" si="7"/>
        <v/>
      </c>
      <c r="H40" s="53" t="str">
        <f t="shared" si="7"/>
        <v/>
      </c>
    </row>
    <row r="41" spans="2:16" x14ac:dyDescent="0.25">
      <c r="B41" s="83"/>
      <c r="C41" s="33" t="s">
        <v>92</v>
      </c>
      <c r="D41" s="67" t="str">
        <f>IFERROR(ROUND((D40*D12*365*D9),1),"")</f>
        <v/>
      </c>
      <c r="E41" s="67" t="str">
        <f>IFERROR(ROUND((E40*E12*365*E9),1),"")</f>
        <v/>
      </c>
      <c r="F41" s="57" t="str">
        <f>IFERROR(ROUND((F40*F12*365*F9),1),"")</f>
        <v/>
      </c>
      <c r="G41" s="57" t="str">
        <f>IFERROR(ROUND((G40*G12*365*G9),1),"")</f>
        <v/>
      </c>
      <c r="H41" s="60" t="str">
        <f>IFERROR(ROUND((H40*H12*365*H9),1),"")</f>
        <v/>
      </c>
    </row>
    <row r="42" spans="2:16" x14ac:dyDescent="0.25">
      <c r="B42" s="83"/>
      <c r="C42" s="33" t="s">
        <v>93</v>
      </c>
      <c r="D42" s="67" t="str">
        <f>IFERROR(ROUND((D32*D22/1000*24*365*D9),1),"")</f>
        <v/>
      </c>
      <c r="E42" s="67" t="str">
        <f>IFERROR(ROUND((E32*E22/1000*24*365*E9),1),"")</f>
        <v/>
      </c>
      <c r="F42" s="57" t="str">
        <f>IFERROR(ROUND((F32*F22/1000*24*365*F9),1),"")</f>
        <v/>
      </c>
      <c r="G42" s="57" t="str">
        <f>IFERROR(ROUND((G32*G22/1000*24*365*G9),1),"")</f>
        <v/>
      </c>
      <c r="H42" s="60" t="str">
        <f>IFERROR(ROUND((H32*H22/1000*24*365*H9),1),"")</f>
        <v/>
      </c>
    </row>
    <row r="43" spans="2:16" ht="15.75" thickBot="1" x14ac:dyDescent="0.3">
      <c r="B43" s="84"/>
      <c r="C43" s="37" t="s">
        <v>94</v>
      </c>
      <c r="D43" s="68" t="str">
        <f>IFERROR(ROUND((D31*D25/1000*24*365*D9),1),"")</f>
        <v/>
      </c>
      <c r="E43" s="68" t="str">
        <f>IFERROR(ROUND((E31*E25/1000*24*365*E9),1),"")</f>
        <v/>
      </c>
      <c r="F43" s="58" t="str">
        <f>IFERROR(ROUND((F31*F25/1000*24*365*F9),1),"")</f>
        <v/>
      </c>
      <c r="G43" s="58" t="str">
        <f>IFERROR(ROUND((G31*G25/1000*24*365*G9),1),"")</f>
        <v/>
      </c>
      <c r="H43" s="61" t="str">
        <f>IFERROR(ROUND((H31*H25/1000*24*365*H9),1),"")</f>
        <v/>
      </c>
    </row>
    <row r="44" spans="2:16" ht="22.9" customHeight="1" thickBot="1" x14ac:dyDescent="0.3"/>
    <row r="45" spans="2:16" ht="18.75" x14ac:dyDescent="0.25">
      <c r="C45" s="76" t="s">
        <v>22</v>
      </c>
      <c r="D45" s="77"/>
      <c r="E45" s="77"/>
      <c r="F45" s="78"/>
    </row>
    <row r="46" spans="2:16" x14ac:dyDescent="0.25">
      <c r="C46" s="75" t="s">
        <v>31</v>
      </c>
      <c r="D46" s="79" t="s">
        <v>36</v>
      </c>
      <c r="E46" s="80"/>
      <c r="F46" s="81"/>
    </row>
    <row r="47" spans="2:16" x14ac:dyDescent="0.25">
      <c r="C47" s="75"/>
      <c r="D47" s="29" t="s">
        <v>23</v>
      </c>
      <c r="E47" s="29" t="s">
        <v>24</v>
      </c>
      <c r="F47" s="56" t="s">
        <v>25</v>
      </c>
    </row>
    <row r="48" spans="2:16" x14ac:dyDescent="0.25">
      <c r="C48" s="54" t="s">
        <v>26</v>
      </c>
      <c r="D48" s="65">
        <f>SUM(D41:H41)</f>
        <v>0</v>
      </c>
      <c r="E48" s="65">
        <f>SUM(D27:H27)</f>
        <v>0</v>
      </c>
      <c r="F48" s="63">
        <f>D48-E48</f>
        <v>0</v>
      </c>
    </row>
    <row r="49" spans="3:7" x14ac:dyDescent="0.25">
      <c r="C49" s="54" t="s">
        <v>27</v>
      </c>
      <c r="D49" s="65">
        <f>SUM(D42:H42)</f>
        <v>0</v>
      </c>
      <c r="E49" s="65">
        <f>SUM(D28:H28)</f>
        <v>0</v>
      </c>
      <c r="F49" s="63">
        <f>D49-E49</f>
        <v>0</v>
      </c>
    </row>
    <row r="50" spans="3:7" x14ac:dyDescent="0.25">
      <c r="C50" s="54" t="s">
        <v>28</v>
      </c>
      <c r="D50" s="65">
        <f>SUM(D43:H43)</f>
        <v>0</v>
      </c>
      <c r="E50" s="65">
        <f>SUM(D29:H29)</f>
        <v>0</v>
      </c>
      <c r="F50" s="63">
        <f>D50-E50</f>
        <v>0</v>
      </c>
    </row>
    <row r="51" spans="3:7" ht="15.75" thickBot="1" x14ac:dyDescent="0.3">
      <c r="C51" s="55" t="s">
        <v>37</v>
      </c>
      <c r="D51" s="66">
        <f>SUM(D48:D50)</f>
        <v>0</v>
      </c>
      <c r="E51" s="66">
        <f t="shared" ref="E51" si="8">SUM(E48:E50)</f>
        <v>0</v>
      </c>
      <c r="F51" s="64">
        <f>SUM(F48:F50)</f>
        <v>0</v>
      </c>
    </row>
    <row r="55" spans="3:7" x14ac:dyDescent="0.25">
      <c r="G55" s="28"/>
    </row>
    <row r="56" spans="3:7" x14ac:dyDescent="0.25">
      <c r="G56" s="28"/>
    </row>
  </sheetData>
  <sheetProtection password="F16B" sheet="1" formatColumns="0" formatRows="0"/>
  <mergeCells count="10">
    <mergeCell ref="B8:B14"/>
    <mergeCell ref="B26:B29"/>
    <mergeCell ref="B15:B25"/>
    <mergeCell ref="B30:B43"/>
    <mergeCell ref="C2:H2"/>
    <mergeCell ref="C5:H6"/>
    <mergeCell ref="C30:H30"/>
    <mergeCell ref="C46:C47"/>
    <mergeCell ref="C45:F45"/>
    <mergeCell ref="D46:F46"/>
  </mergeCells>
  <dataValidations disablePrompts="1" count="2">
    <dataValidation type="list" allowBlank="1" showInputMessage="1" showErrorMessage="1" sqref="D24:H24">
      <formula1>"Yes,No"</formula1>
    </dataValidation>
    <dataValidation type="list" allowBlank="1" showInputMessage="1" showErrorMessage="1" sqref="D10:H10">
      <formula1>"Passenger,Service"</formula1>
    </dataValidation>
  </dataValidations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>
          <x14:formula1>
            <xm:f>'Usage hours'!$B$2:$B$18</xm:f>
          </x14:formula1>
          <xm:sqref>D11:H11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6"/>
  <sheetViews>
    <sheetView zoomScale="70" zoomScaleNormal="70" workbookViewId="0">
      <selection activeCell="C13" sqref="C13"/>
    </sheetView>
  </sheetViews>
  <sheetFormatPr defaultRowHeight="15" x14ac:dyDescent="0.25"/>
  <cols>
    <col min="2" max="2" width="25.85546875" customWidth="1"/>
    <col min="3" max="7" width="40.140625" customWidth="1"/>
  </cols>
  <sheetData>
    <row r="2" spans="2:7" x14ac:dyDescent="0.25">
      <c r="B2" s="88" t="s">
        <v>15</v>
      </c>
      <c r="C2" s="88"/>
      <c r="D2" s="88"/>
      <c r="E2" s="88"/>
      <c r="F2" s="88"/>
      <c r="G2" s="88"/>
    </row>
    <row r="3" spans="2:7" x14ac:dyDescent="0.25">
      <c r="B3" s="1" t="s">
        <v>1</v>
      </c>
      <c r="C3" s="1">
        <v>1</v>
      </c>
      <c r="D3" s="1">
        <v>2</v>
      </c>
      <c r="E3" s="1">
        <v>3</v>
      </c>
      <c r="F3" s="1">
        <v>4</v>
      </c>
      <c r="G3" s="1">
        <v>5</v>
      </c>
    </row>
    <row r="4" spans="2:7" ht="30" x14ac:dyDescent="0.25">
      <c r="B4" s="1" t="s">
        <v>2</v>
      </c>
      <c r="C4" s="2" t="s">
        <v>3</v>
      </c>
      <c r="D4" s="2" t="s">
        <v>4</v>
      </c>
      <c r="E4" s="2" t="s">
        <v>5</v>
      </c>
      <c r="F4" s="2" t="s">
        <v>6</v>
      </c>
      <c r="G4" s="2" t="s">
        <v>7</v>
      </c>
    </row>
    <row r="5" spans="2:7" ht="30" x14ac:dyDescent="0.25">
      <c r="B5" s="1" t="s">
        <v>21</v>
      </c>
      <c r="C5" s="3">
        <v>0.2</v>
      </c>
      <c r="D5" s="3">
        <v>0.5</v>
      </c>
      <c r="E5" s="3">
        <v>1.5</v>
      </c>
      <c r="F5" s="3">
        <v>3</v>
      </c>
      <c r="G5" s="3">
        <v>6</v>
      </c>
    </row>
    <row r="6" spans="2:7" ht="214.9" customHeight="1" x14ac:dyDescent="0.25">
      <c r="B6" s="1" t="s">
        <v>8</v>
      </c>
      <c r="C6" s="4" t="s">
        <v>9</v>
      </c>
      <c r="D6" s="4" t="s">
        <v>10</v>
      </c>
      <c r="E6" s="4" t="s">
        <v>11</v>
      </c>
      <c r="F6" s="4" t="s">
        <v>12</v>
      </c>
      <c r="G6" s="4" t="s">
        <v>13</v>
      </c>
    </row>
  </sheetData>
  <mergeCells count="1">
    <mergeCell ref="B2:G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31"/>
  <sheetViews>
    <sheetView topLeftCell="A5" workbookViewId="0">
      <selection activeCell="G24" sqref="G24"/>
    </sheetView>
  </sheetViews>
  <sheetFormatPr defaultRowHeight="15" x14ac:dyDescent="0.25"/>
  <cols>
    <col min="2" max="3" width="21.85546875" style="6" customWidth="1"/>
  </cols>
  <sheetData>
    <row r="2" spans="2:3" ht="29.25" customHeight="1" x14ac:dyDescent="0.25">
      <c r="B2" s="89" t="s">
        <v>40</v>
      </c>
      <c r="C2" s="90"/>
    </row>
    <row r="3" spans="2:3" x14ac:dyDescent="0.25">
      <c r="B3" s="5" t="s">
        <v>38</v>
      </c>
      <c r="C3" s="5" t="s">
        <v>39</v>
      </c>
    </row>
    <row r="4" spans="2:3" x14ac:dyDescent="0.25">
      <c r="B4" s="5">
        <v>10</v>
      </c>
      <c r="C4" s="7">
        <v>0.72</v>
      </c>
    </row>
    <row r="5" spans="2:3" x14ac:dyDescent="0.25">
      <c r="B5" s="5">
        <v>20</v>
      </c>
      <c r="C5" s="7">
        <v>0.75</v>
      </c>
    </row>
    <row r="6" spans="2:3" x14ac:dyDescent="0.25">
      <c r="B6" s="5">
        <v>30</v>
      </c>
      <c r="C6" s="7">
        <v>0.78</v>
      </c>
    </row>
    <row r="7" spans="2:3" x14ac:dyDescent="0.25">
      <c r="B7" s="5">
        <v>40</v>
      </c>
      <c r="C7" s="7">
        <v>0.78</v>
      </c>
    </row>
    <row r="8" spans="2:3" x14ac:dyDescent="0.25">
      <c r="B8" s="5">
        <v>100</v>
      </c>
      <c r="C8" s="7">
        <v>0.8</v>
      </c>
    </row>
    <row r="11" spans="2:3" ht="33" customHeight="1" x14ac:dyDescent="0.25">
      <c r="B11" s="89" t="s">
        <v>41</v>
      </c>
      <c r="C11" s="90"/>
    </row>
    <row r="12" spans="2:3" x14ac:dyDescent="0.25">
      <c r="B12" s="5" t="s">
        <v>38</v>
      </c>
      <c r="C12" s="5" t="s">
        <v>39</v>
      </c>
    </row>
    <row r="13" spans="2:3" x14ac:dyDescent="0.25">
      <c r="B13" s="5">
        <v>1</v>
      </c>
      <c r="C13" s="8">
        <v>0.82499999999999996</v>
      </c>
    </row>
    <row r="14" spans="2:3" x14ac:dyDescent="0.25">
      <c r="B14" s="5">
        <v>1.5</v>
      </c>
      <c r="C14" s="8">
        <v>0.84</v>
      </c>
    </row>
    <row r="15" spans="2:3" x14ac:dyDescent="0.25">
      <c r="B15" s="5">
        <v>2</v>
      </c>
      <c r="C15" s="8">
        <v>0.84</v>
      </c>
    </row>
    <row r="16" spans="2:3" x14ac:dyDescent="0.25">
      <c r="B16" s="5">
        <v>3</v>
      </c>
      <c r="C16" s="8">
        <v>0.875</v>
      </c>
    </row>
    <row r="17" spans="2:3" x14ac:dyDescent="0.25">
      <c r="B17" s="5">
        <v>5</v>
      </c>
      <c r="C17" s="8">
        <v>0.875</v>
      </c>
    </row>
    <row r="18" spans="2:3" x14ac:dyDescent="0.25">
      <c r="B18" s="5">
        <v>7.5</v>
      </c>
      <c r="C18" s="8">
        <v>0.89500000000000002</v>
      </c>
    </row>
    <row r="19" spans="2:3" x14ac:dyDescent="0.25">
      <c r="B19" s="5">
        <v>10</v>
      </c>
      <c r="C19" s="8">
        <v>0.89500000000000002</v>
      </c>
    </row>
    <row r="20" spans="2:3" x14ac:dyDescent="0.25">
      <c r="B20" s="5">
        <v>15</v>
      </c>
      <c r="C20" s="8">
        <v>0.91</v>
      </c>
    </row>
    <row r="21" spans="2:3" x14ac:dyDescent="0.25">
      <c r="B21" s="5">
        <v>20</v>
      </c>
      <c r="C21" s="8">
        <v>0.91</v>
      </c>
    </row>
    <row r="22" spans="2:3" x14ac:dyDescent="0.25">
      <c r="B22" s="5">
        <v>25</v>
      </c>
      <c r="C22" s="8">
        <v>0.92400000000000004</v>
      </c>
    </row>
    <row r="23" spans="2:3" x14ac:dyDescent="0.25">
      <c r="B23" s="5">
        <v>30</v>
      </c>
      <c r="C23" s="8">
        <v>0.92400000000000004</v>
      </c>
    </row>
    <row r="24" spans="2:3" x14ac:dyDescent="0.25">
      <c r="B24" s="5">
        <v>40</v>
      </c>
      <c r="C24" s="8">
        <v>0.93</v>
      </c>
    </row>
    <row r="25" spans="2:3" x14ac:dyDescent="0.25">
      <c r="B25" s="5">
        <v>50</v>
      </c>
      <c r="C25" s="8">
        <v>0.93</v>
      </c>
    </row>
    <row r="26" spans="2:3" x14ac:dyDescent="0.25">
      <c r="B26" s="5">
        <v>60</v>
      </c>
      <c r="C26" s="8">
        <v>0.93600000000000005</v>
      </c>
    </row>
    <row r="27" spans="2:3" x14ac:dyDescent="0.25">
      <c r="B27" s="5">
        <v>75</v>
      </c>
      <c r="C27" s="8">
        <v>0.94099999999999995</v>
      </c>
    </row>
    <row r="28" spans="2:3" x14ac:dyDescent="0.25">
      <c r="B28" s="5">
        <v>100</v>
      </c>
      <c r="C28" s="8">
        <v>0.94499999999999995</v>
      </c>
    </row>
    <row r="29" spans="2:3" x14ac:dyDescent="0.25">
      <c r="B29" s="5">
        <v>125</v>
      </c>
      <c r="C29" s="8">
        <v>0.94499999999999995</v>
      </c>
    </row>
    <row r="30" spans="2:3" x14ac:dyDescent="0.25">
      <c r="B30" s="5">
        <v>150</v>
      </c>
      <c r="C30" s="8">
        <v>0.95</v>
      </c>
    </row>
    <row r="31" spans="2:3" x14ac:dyDescent="0.25">
      <c r="B31" s="5">
        <v>200</v>
      </c>
      <c r="C31" s="8">
        <v>0.95</v>
      </c>
    </row>
  </sheetData>
  <mergeCells count="2">
    <mergeCell ref="B2:C2"/>
    <mergeCell ref="B11:C1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8"/>
  <sheetViews>
    <sheetView workbookViewId="0">
      <selection activeCell="B24" sqref="B24"/>
    </sheetView>
  </sheetViews>
  <sheetFormatPr defaultRowHeight="15" x14ac:dyDescent="0.25"/>
  <cols>
    <col min="2" max="2" width="59.7109375" customWidth="1"/>
    <col min="3" max="3" width="19.28515625" customWidth="1"/>
    <col min="6" max="6" width="28.140625" customWidth="1"/>
  </cols>
  <sheetData>
    <row r="1" spans="2:6" x14ac:dyDescent="0.25">
      <c r="B1" s="9" t="s">
        <v>62</v>
      </c>
      <c r="C1" s="9" t="s">
        <v>63</v>
      </c>
    </row>
    <row r="2" spans="2:6" x14ac:dyDescent="0.25">
      <c r="B2" s="9" t="s">
        <v>48</v>
      </c>
      <c r="C2" s="9">
        <v>0.2</v>
      </c>
      <c r="E2" s="9">
        <v>0.2</v>
      </c>
      <c r="F2" s="9" t="s">
        <v>66</v>
      </c>
    </row>
    <row r="3" spans="2:6" x14ac:dyDescent="0.25">
      <c r="B3" s="9" t="s">
        <v>71</v>
      </c>
      <c r="C3" s="9">
        <v>0.5</v>
      </c>
      <c r="E3" s="9">
        <v>0.5</v>
      </c>
      <c r="F3" s="9" t="s">
        <v>67</v>
      </c>
    </row>
    <row r="4" spans="2:6" x14ac:dyDescent="0.25">
      <c r="B4" s="9" t="s">
        <v>64</v>
      </c>
      <c r="C4" s="9">
        <v>1.5</v>
      </c>
      <c r="E4" s="9">
        <v>1.5</v>
      </c>
      <c r="F4" s="9" t="s">
        <v>68</v>
      </c>
    </row>
    <row r="5" spans="2:6" x14ac:dyDescent="0.25">
      <c r="B5" s="9" t="s">
        <v>65</v>
      </c>
      <c r="C5" s="9">
        <v>3</v>
      </c>
      <c r="E5" s="9">
        <v>3</v>
      </c>
      <c r="F5" s="9" t="s">
        <v>69</v>
      </c>
    </row>
    <row r="6" spans="2:6" x14ac:dyDescent="0.25">
      <c r="B6" s="9" t="s">
        <v>49</v>
      </c>
      <c r="C6" s="9">
        <v>0.2</v>
      </c>
      <c r="E6" s="9">
        <v>6</v>
      </c>
      <c r="F6" s="9" t="s">
        <v>70</v>
      </c>
    </row>
    <row r="7" spans="2:6" x14ac:dyDescent="0.25">
      <c r="B7" s="9" t="s">
        <v>50</v>
      </c>
      <c r="C7" s="9">
        <v>0.5</v>
      </c>
    </row>
    <row r="8" spans="2:6" x14ac:dyDescent="0.25">
      <c r="B8" s="9" t="s">
        <v>51</v>
      </c>
      <c r="C8" s="9">
        <v>1.5</v>
      </c>
    </row>
    <row r="9" spans="2:6" x14ac:dyDescent="0.25">
      <c r="B9" s="9" t="s">
        <v>52</v>
      </c>
      <c r="C9" s="9">
        <v>3</v>
      </c>
    </row>
    <row r="10" spans="2:6" x14ac:dyDescent="0.25">
      <c r="B10" s="9" t="s">
        <v>53</v>
      </c>
      <c r="C10" s="9">
        <v>6</v>
      </c>
    </row>
    <row r="11" spans="2:6" x14ac:dyDescent="0.25">
      <c r="B11" s="9" t="s">
        <v>54</v>
      </c>
      <c r="C11" s="9">
        <v>0.5</v>
      </c>
    </row>
    <row r="12" spans="2:6" x14ac:dyDescent="0.25">
      <c r="B12" s="9" t="s">
        <v>55</v>
      </c>
      <c r="C12" s="9">
        <v>1.5</v>
      </c>
    </row>
    <row r="13" spans="2:6" x14ac:dyDescent="0.25">
      <c r="B13" s="9" t="s">
        <v>56</v>
      </c>
      <c r="C13" s="9">
        <v>3</v>
      </c>
    </row>
    <row r="14" spans="2:6" x14ac:dyDescent="0.25">
      <c r="B14" s="9" t="s">
        <v>57</v>
      </c>
      <c r="C14" s="9">
        <v>3</v>
      </c>
    </row>
    <row r="15" spans="2:6" x14ac:dyDescent="0.25">
      <c r="B15" s="9" t="s">
        <v>58</v>
      </c>
      <c r="C15" s="9">
        <v>6</v>
      </c>
    </row>
    <row r="16" spans="2:6" x14ac:dyDescent="0.25">
      <c r="B16" s="9" t="s">
        <v>59</v>
      </c>
      <c r="C16" s="9">
        <v>0.5</v>
      </c>
    </row>
    <row r="17" spans="2:3" x14ac:dyDescent="0.25">
      <c r="B17" s="9" t="s">
        <v>60</v>
      </c>
      <c r="C17" s="9">
        <v>1.5</v>
      </c>
    </row>
    <row r="18" spans="2:3" x14ac:dyDescent="0.25">
      <c r="B18" s="9" t="s">
        <v>61</v>
      </c>
      <c r="C18" s="9">
        <v>3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Elevator Calculator</vt:lpstr>
      <vt:lpstr>Table 1 Usage Categories</vt:lpstr>
      <vt:lpstr>Motor Efficiency</vt:lpstr>
      <vt:lpstr>Usage hours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</dc:creator>
  <cp:lastModifiedBy>Eva</cp:lastModifiedBy>
  <dcterms:created xsi:type="dcterms:W3CDTF">2018-03-26T15:06:03Z</dcterms:created>
  <dcterms:modified xsi:type="dcterms:W3CDTF">2018-06-04T14:42:43Z</dcterms:modified>
</cp:coreProperties>
</file>