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ttps://consolidatededison-my.sharepoint.com/personal/madnickp_oru_com/Documents/WORK FILES/Reports/New Jersey/Annual Reports/"/>
    </mc:Choice>
  </mc:AlternateContent>
  <xr:revisionPtr revIDLastSave="366" documentId="13_ncr:1_{7706F86E-7343-4B23-BB02-E4D2F78EA762}" xr6:coauthVersionLast="47" xr6:coauthVersionMax="47" xr10:uidLastSave="{2FA7A0F0-8477-4D3C-B649-3ED0A23AD2B8}"/>
  <bookViews>
    <workbookView xWindow="-110" yWindow="-110" windowWidth="22780" windowHeight="14660" xr2:uid="{00000000-000D-0000-FFFF-FFFF00000000}"/>
  </bookViews>
  <sheets>
    <sheet name="Table 1" sheetId="35" r:id="rId1"/>
    <sheet name="Tables 2-6" sheetId="36" r:id="rId2"/>
    <sheet name="Table 7 TRIMMED" sheetId="46" r:id="rId3"/>
    <sheet name="Table 8" sheetId="38" r:id="rId4"/>
    <sheet name="Ap A - Participant Def" sheetId="45" r:id="rId5"/>
    <sheet name="Ap B - Qtr Electric Master" sheetId="27" r:id="rId6"/>
    <sheet name=" Ap C - Qtr Electric LMI" sheetId="29" r:id="rId7"/>
    <sheet name=" Ap D - Qtr Electric Business" sheetId="30" r:id="rId8"/>
    <sheet name="Ap E - NJ CEA Benchmarks" sheetId="40" r:id="rId9"/>
    <sheet name="AP F - Secondary Metrics" sheetId="41" r:id="rId10"/>
    <sheet name="AP G - Transfer" sheetId="42" r:id="rId11"/>
    <sheet name="AP H - CostTest" sheetId="47" r:id="rId12"/>
    <sheet name="AP I - Program Changes" sheetId="44" r:id="rId13"/>
    <sheet name="RECO" sheetId="31" state="hidden" r:id="rId14"/>
    <sheet name="Lookup_Sheet" sheetId="32" state="hidden" r:id="rId15"/>
  </sheets>
  <externalReferences>
    <externalReference r:id="rId16"/>
    <externalReference r:id="rId17"/>
    <externalReference r:id="rId18"/>
  </externalReferences>
  <definedNames>
    <definedName name="__FPMExcelClient_CellBasedFunctionStatus" localSheetId="8" hidden="1">"2_2_2_2_2_2"</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4"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5" hidden="1">{"COVER",#N/A,FALSE,"COVERPMT";"COMPANY ORDER",#N/A,FALSE,"COVERPMT";"EXHIBIT A",#N/A,FALSE,"COVERPMT"}</definedName>
    <definedName name="wrn.FUEL._.SCHEDULE." localSheetId="8" hidden="1">{"COVER",#N/A,FALSE,"COVERPMT";"COMPANY ORDER",#N/A,FALSE,"COVERPMT";"EXHIBIT A",#N/A,FALSE,"COVERPMT"}</definedName>
    <definedName name="wrn.FUEL._.SCHEDULE." localSheetId="11" hidden="1">{"COVER",#N/A,FALSE,"COVERPMT";"COMPANY ORDER",#N/A,FALSE,"COVERPMT";"EXHIBIT A",#N/A,FALSE,"COVERPMT"}</definedName>
    <definedName name="wrn.FUEL._.SCHEDULE." localSheetId="14"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6" hidden="1">' Ap C - Qtr Electric LMI'!#REF!</definedName>
    <definedName name="Z_E3A30FBC_675D_4AD8_9B2D_12956792A138_.wvu.Rows" localSheetId="7" hidden="1">' Ap D - Qtr Electric Business'!#REF!</definedName>
    <definedName name="Z_E3A30FBC_675D_4AD8_9B2D_12956792A138_.wvu.Rows" localSheetId="5" hidden="1">'Ap B - Qtr Electric Master'!#REF!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5" i="36" l="1"/>
  <c r="I24" i="27"/>
  <c r="C34" i="36"/>
  <c r="G21" i="29"/>
  <c r="F21" i="29"/>
  <c r="F19" i="29"/>
  <c r="N24" i="27"/>
  <c r="C45" i="36" s="1"/>
  <c r="L24" i="27"/>
  <c r="B45" i="36" s="1"/>
  <c r="N15" i="27"/>
  <c r="L15" i="27"/>
  <c r="N8" i="27"/>
  <c r="L8" i="27"/>
  <c r="J24" i="27"/>
  <c r="J21" i="27"/>
  <c r="J20" i="27"/>
  <c r="J18" i="27"/>
  <c r="J15" i="27"/>
  <c r="J14" i="27"/>
  <c r="J10" i="27"/>
  <c r="J9" i="27"/>
  <c r="J8" i="27"/>
  <c r="H24" i="27"/>
  <c r="B34" i="36" s="1"/>
  <c r="H21" i="27"/>
  <c r="H20" i="27"/>
  <c r="H18" i="27"/>
  <c r="H15" i="27"/>
  <c r="H14" i="27"/>
  <c r="H10" i="27"/>
  <c r="H9" i="27"/>
  <c r="H8" i="27"/>
  <c r="F24" i="27"/>
  <c r="D19" i="29" s="1"/>
  <c r="D21" i="29" s="1"/>
  <c r="D24" i="27"/>
  <c r="F20" i="27"/>
  <c r="D20" i="27"/>
  <c r="F15" i="27"/>
  <c r="D15" i="27"/>
  <c r="F8" i="27"/>
  <c r="D8" i="27"/>
  <c r="H19" i="29" l="1"/>
  <c r="H21" i="29" s="1"/>
  <c r="C6" i="36"/>
  <c r="C5" i="36"/>
  <c r="P21" i="27" l="1"/>
  <c r="P20" i="27"/>
  <c r="P18" i="27"/>
  <c r="P14" i="27"/>
  <c r="P10" i="27"/>
  <c r="P9" i="27"/>
  <c r="P24" i="27"/>
  <c r="R24" i="27"/>
  <c r="B23" i="36"/>
  <c r="D23" i="36"/>
  <c r="C23" i="36"/>
  <c r="G24" i="27"/>
  <c r="N12" i="38"/>
  <c r="M12" i="38"/>
  <c r="L12" i="38"/>
  <c r="K12" i="38"/>
  <c r="J12" i="38"/>
  <c r="I12" i="38"/>
  <c r="N11" i="38"/>
  <c r="M11" i="38"/>
  <c r="L11" i="38"/>
  <c r="K11" i="38"/>
  <c r="J11" i="38"/>
  <c r="I11" i="38"/>
  <c r="N10" i="38"/>
  <c r="M10" i="38"/>
  <c r="L10" i="38"/>
  <c r="K10" i="38"/>
  <c r="J10" i="38"/>
  <c r="I10" i="38"/>
  <c r="N9" i="38"/>
  <c r="M9" i="38"/>
  <c r="L9" i="38"/>
  <c r="K9" i="38"/>
  <c r="J9" i="38"/>
  <c r="I9" i="38"/>
  <c r="N8" i="38"/>
  <c r="M8" i="38"/>
  <c r="L8" i="38"/>
  <c r="K8" i="38"/>
  <c r="J8" i="38"/>
  <c r="I8" i="38"/>
  <c r="N7" i="38"/>
  <c r="M7" i="38"/>
  <c r="L7" i="38"/>
  <c r="K7" i="38"/>
  <c r="J7" i="38"/>
  <c r="I7" i="38"/>
  <c r="N6" i="38"/>
  <c r="M6" i="38"/>
  <c r="L6" i="38"/>
  <c r="K6" i="38"/>
  <c r="J6" i="38"/>
  <c r="I6" i="38"/>
  <c r="N5" i="38"/>
  <c r="M5" i="38"/>
  <c r="L5" i="38"/>
  <c r="K5" i="38"/>
  <c r="J5" i="38"/>
  <c r="I5" i="38"/>
  <c r="E48" i="47"/>
  <c r="N47" i="47"/>
  <c r="G47" i="47"/>
  <c r="P48" i="47"/>
  <c r="O48" i="47"/>
  <c r="M48" i="47"/>
  <c r="L48" i="47"/>
  <c r="K48" i="47"/>
  <c r="J48" i="47"/>
  <c r="I48" i="47"/>
  <c r="I49" i="47" s="1"/>
  <c r="F48" i="47"/>
  <c r="D48" i="47"/>
  <c r="C48" i="47"/>
  <c r="N45" i="47"/>
  <c r="G45" i="47"/>
  <c r="P44" i="47"/>
  <c r="O44" i="47"/>
  <c r="M44" i="47"/>
  <c r="L44" i="47"/>
  <c r="K44" i="47"/>
  <c r="J44" i="47"/>
  <c r="I44" i="47"/>
  <c r="F44" i="47"/>
  <c r="E44" i="47"/>
  <c r="E49" i="47" s="1"/>
  <c r="D44" i="47"/>
  <c r="C44" i="47"/>
  <c r="N43" i="47"/>
  <c r="G43" i="47"/>
  <c r="N42" i="47"/>
  <c r="G42" i="47"/>
  <c r="N41" i="47"/>
  <c r="G41" i="47"/>
  <c r="N40" i="47"/>
  <c r="G40" i="47"/>
  <c r="N39" i="47"/>
  <c r="G39" i="47"/>
  <c r="N38" i="47"/>
  <c r="G38" i="47"/>
  <c r="N37" i="47"/>
  <c r="G37" i="47"/>
  <c r="N36" i="47"/>
  <c r="G36" i="47"/>
  <c r="N35" i="47"/>
  <c r="G35" i="47"/>
  <c r="N34" i="47"/>
  <c r="N44" i="47" s="1"/>
  <c r="G34" i="47"/>
  <c r="G44" i="47" s="1"/>
  <c r="D31" i="47"/>
  <c r="N30" i="47"/>
  <c r="G30" i="47"/>
  <c r="N29" i="47"/>
  <c r="G29" i="47"/>
  <c r="E26" i="47"/>
  <c r="P23" i="47"/>
  <c r="O23" i="47"/>
  <c r="M23" i="47"/>
  <c r="L23" i="47"/>
  <c r="K23" i="47"/>
  <c r="J23" i="47"/>
  <c r="I23" i="47"/>
  <c r="F23" i="47"/>
  <c r="E23" i="47"/>
  <c r="D23" i="47"/>
  <c r="C23" i="47"/>
  <c r="N22" i="47"/>
  <c r="N23" i="47" s="1"/>
  <c r="G22" i="47"/>
  <c r="N21" i="47"/>
  <c r="G21" i="47"/>
  <c r="G23" i="47" s="1"/>
  <c r="L17" i="47"/>
  <c r="I17" i="47"/>
  <c r="C17" i="47"/>
  <c r="N16" i="47"/>
  <c r="G16" i="47"/>
  <c r="P15" i="47"/>
  <c r="P17" i="47" s="1"/>
  <c r="O15" i="47"/>
  <c r="O17" i="47" s="1"/>
  <c r="L15" i="47"/>
  <c r="K15" i="47"/>
  <c r="K17" i="47" s="1"/>
  <c r="J15" i="47"/>
  <c r="J17" i="47" s="1"/>
  <c r="I15" i="47"/>
  <c r="G15" i="47"/>
  <c r="G17" i="47" s="1"/>
  <c r="F17" i="47"/>
  <c r="E17" i="47"/>
  <c r="D17" i="47"/>
  <c r="N14" i="47"/>
  <c r="G14" i="47"/>
  <c r="O13" i="47"/>
  <c r="O18" i="47" s="1"/>
  <c r="M13" i="47"/>
  <c r="J13" i="47"/>
  <c r="F13" i="47"/>
  <c r="F18" i="47" s="1"/>
  <c r="E13" i="47"/>
  <c r="D13" i="47"/>
  <c r="D18" i="47" s="1"/>
  <c r="N12" i="47"/>
  <c r="G12" i="47"/>
  <c r="N11" i="47"/>
  <c r="G11" i="47"/>
  <c r="N10" i="47"/>
  <c r="G10" i="47"/>
  <c r="N9" i="47"/>
  <c r="G9" i="47"/>
  <c r="P8" i="47"/>
  <c r="P31" i="47" s="1"/>
  <c r="O8" i="47"/>
  <c r="O31" i="47" s="1"/>
  <c r="M8" i="47"/>
  <c r="L8" i="47"/>
  <c r="K8" i="47"/>
  <c r="K31" i="47" s="1"/>
  <c r="J8" i="47"/>
  <c r="J31" i="47" s="1"/>
  <c r="I8" i="47"/>
  <c r="I31" i="47" s="1"/>
  <c r="F8" i="47"/>
  <c r="F31" i="47" s="1"/>
  <c r="E8" i="47"/>
  <c r="E31" i="47" s="1"/>
  <c r="D8" i="47"/>
  <c r="D26" i="47" s="1"/>
  <c r="C8" i="47"/>
  <c r="C31" i="47" s="1"/>
  <c r="N7" i="47"/>
  <c r="G7" i="47"/>
  <c r="N6" i="47"/>
  <c r="G6" i="47"/>
  <c r="N5" i="47"/>
  <c r="G5" i="47"/>
  <c r="S24" i="27" l="1"/>
  <c r="C4" i="36" s="1"/>
  <c r="C3" i="36"/>
  <c r="C4" i="35"/>
  <c r="O24" i="27"/>
  <c r="L31" i="47"/>
  <c r="J49" i="47"/>
  <c r="F49" i="47"/>
  <c r="E18" i="47"/>
  <c r="K49" i="47"/>
  <c r="G31" i="47"/>
  <c r="N13" i="47"/>
  <c r="C49" i="47"/>
  <c r="M49" i="47"/>
  <c r="L49" i="47"/>
  <c r="D49" i="47"/>
  <c r="O49" i="47"/>
  <c r="J18" i="47"/>
  <c r="P49" i="47"/>
  <c r="P13" i="47"/>
  <c r="P18" i="47" s="1"/>
  <c r="F26" i="47"/>
  <c r="O26" i="47"/>
  <c r="N8" i="47"/>
  <c r="I13" i="47"/>
  <c r="I18" i="47" s="1"/>
  <c r="P26" i="47"/>
  <c r="I26" i="47"/>
  <c r="G46" i="47"/>
  <c r="G48" i="47" s="1"/>
  <c r="G49" i="47" s="1"/>
  <c r="G8" i="47"/>
  <c r="G26" i="47" s="1"/>
  <c r="K13" i="47"/>
  <c r="K18" i="47" s="1"/>
  <c r="J26" i="47"/>
  <c r="C13" i="47"/>
  <c r="C18" i="47" s="1"/>
  <c r="L13" i="47"/>
  <c r="L18" i="47" s="1"/>
  <c r="M15" i="47"/>
  <c r="K26" i="47"/>
  <c r="C26" i="47"/>
  <c r="L26" i="47"/>
  <c r="N15" i="47" l="1"/>
  <c r="N26" i="47" s="1"/>
  <c r="N48" i="47"/>
  <c r="N49" i="47" s="1"/>
  <c r="N31" i="47"/>
  <c r="G13" i="47"/>
  <c r="G18" i="47" s="1"/>
  <c r="M17" i="47"/>
  <c r="M31" i="47"/>
  <c r="M26" i="47"/>
  <c r="M18" i="47" l="1"/>
  <c r="N17" i="47"/>
  <c r="N18" i="47" s="1"/>
  <c r="E9" i="36" l="1"/>
  <c r="C7" i="42"/>
  <c r="F4" i="35"/>
  <c r="P8" i="27" l="1"/>
  <c r="G9" i="30"/>
  <c r="F9" i="30"/>
  <c r="D54" i="36"/>
  <c r="D53" i="36"/>
  <c r="D52" i="36"/>
  <c r="D51" i="36"/>
  <c r="B59" i="36"/>
  <c r="C59" i="36"/>
  <c r="D59" i="36" l="1"/>
  <c r="E59" i="36" s="1"/>
  <c r="I42" i="46" l="1"/>
  <c r="H42" i="46"/>
  <c r="G42" i="46"/>
  <c r="G44" i="46" s="1"/>
  <c r="F42" i="46"/>
  <c r="E42" i="46"/>
  <c r="D42" i="46"/>
  <c r="I41" i="46"/>
  <c r="H41" i="46"/>
  <c r="G41" i="46"/>
  <c r="F41" i="46"/>
  <c r="E41" i="46"/>
  <c r="D41" i="46"/>
  <c r="E40" i="46"/>
  <c r="F40" i="46"/>
  <c r="G40" i="46"/>
  <c r="H40" i="46"/>
  <c r="H44" i="46" s="1"/>
  <c r="I40" i="46"/>
  <c r="D40" i="46"/>
  <c r="E39" i="46"/>
  <c r="F39" i="46"/>
  <c r="G39" i="46"/>
  <c r="H39" i="46"/>
  <c r="I39" i="46"/>
  <c r="D39" i="46"/>
  <c r="E38" i="46"/>
  <c r="F38" i="46"/>
  <c r="G38" i="46"/>
  <c r="H38" i="46"/>
  <c r="I38" i="46"/>
  <c r="D38" i="46"/>
  <c r="I37" i="46"/>
  <c r="H37" i="46"/>
  <c r="G37" i="46"/>
  <c r="F37" i="46"/>
  <c r="E37" i="46"/>
  <c r="D37" i="46"/>
  <c r="I36" i="46"/>
  <c r="H36" i="46"/>
  <c r="G36" i="46"/>
  <c r="F36" i="46"/>
  <c r="E36" i="46"/>
  <c r="D36" i="46"/>
  <c r="I35" i="46"/>
  <c r="H35" i="46"/>
  <c r="G35" i="46"/>
  <c r="F35" i="46"/>
  <c r="E35" i="46"/>
  <c r="D35" i="46"/>
  <c r="D30" i="46"/>
  <c r="E30" i="46"/>
  <c r="F30" i="46"/>
  <c r="G30" i="46"/>
  <c r="H30" i="46"/>
  <c r="I30" i="46"/>
  <c r="I29" i="46"/>
  <c r="H29" i="46"/>
  <c r="G29" i="46"/>
  <c r="F29" i="46"/>
  <c r="D29" i="46"/>
  <c r="E29" i="46"/>
  <c r="I28" i="46"/>
  <c r="H28" i="46"/>
  <c r="G28" i="46"/>
  <c r="F28" i="46"/>
  <c r="E28" i="46"/>
  <c r="D28" i="46"/>
  <c r="I27" i="46"/>
  <c r="H27" i="46"/>
  <c r="G27" i="46"/>
  <c r="F27" i="46"/>
  <c r="E27" i="46"/>
  <c r="D27" i="46"/>
  <c r="I26" i="46"/>
  <c r="H26" i="46"/>
  <c r="G26" i="46"/>
  <c r="F26" i="46"/>
  <c r="E26" i="46"/>
  <c r="D26" i="46"/>
  <c r="I25" i="46"/>
  <c r="H25" i="46"/>
  <c r="G25" i="46"/>
  <c r="F25" i="46"/>
  <c r="E25" i="46"/>
  <c r="D25" i="46"/>
  <c r="I24" i="46"/>
  <c r="H24" i="46"/>
  <c r="G24" i="46"/>
  <c r="F24" i="46"/>
  <c r="E24" i="46"/>
  <c r="D24" i="46"/>
  <c r="I23" i="46"/>
  <c r="H23" i="46"/>
  <c r="G23" i="46"/>
  <c r="F23" i="46"/>
  <c r="E23" i="46"/>
  <c r="D23" i="46"/>
  <c r="D18" i="46"/>
  <c r="E18" i="46"/>
  <c r="F18" i="46"/>
  <c r="G18" i="46"/>
  <c r="H18" i="46"/>
  <c r="I18" i="46"/>
  <c r="D17" i="46"/>
  <c r="E17" i="46"/>
  <c r="F17" i="46"/>
  <c r="G17" i="46"/>
  <c r="H17" i="46"/>
  <c r="I17" i="46"/>
  <c r="I16" i="46"/>
  <c r="H16" i="46"/>
  <c r="G16" i="46"/>
  <c r="F16" i="46"/>
  <c r="E16" i="46"/>
  <c r="D16" i="46"/>
  <c r="D20" i="46" s="1"/>
  <c r="I15" i="46"/>
  <c r="H15" i="46"/>
  <c r="G15" i="46"/>
  <c r="F15" i="46"/>
  <c r="E15" i="46"/>
  <c r="D15" i="46"/>
  <c r="D14" i="46"/>
  <c r="E14" i="46"/>
  <c r="F14" i="46"/>
  <c r="G14" i="46"/>
  <c r="H14" i="46"/>
  <c r="I14" i="46"/>
  <c r="I13" i="46"/>
  <c r="F13" i="46"/>
  <c r="H13" i="46"/>
  <c r="G13" i="46"/>
  <c r="E13" i="46"/>
  <c r="D13" i="46"/>
  <c r="I12" i="46"/>
  <c r="H12" i="46"/>
  <c r="G12" i="46"/>
  <c r="F12" i="46"/>
  <c r="E12" i="46"/>
  <c r="D12" i="46"/>
  <c r="I11" i="46"/>
  <c r="H11" i="46"/>
  <c r="G11" i="46"/>
  <c r="D11" i="46"/>
  <c r="F11" i="46"/>
  <c r="E11" i="46"/>
  <c r="D7" i="46"/>
  <c r="C7" i="46"/>
  <c r="D19" i="46" l="1"/>
  <c r="D32" i="46"/>
  <c r="H32" i="46"/>
  <c r="D44" i="46"/>
  <c r="E44" i="46"/>
  <c r="D31" i="46"/>
  <c r="H43" i="46"/>
  <c r="H45" i="46" s="1"/>
  <c r="G43" i="46"/>
  <c r="E43" i="46"/>
  <c r="D43" i="46"/>
  <c r="H20" i="46"/>
  <c r="G32" i="46"/>
  <c r="I32" i="46" s="1"/>
  <c r="E32" i="46"/>
  <c r="F32" i="46" s="1"/>
  <c r="H31" i="46"/>
  <c r="H33" i="46" s="1"/>
  <c r="G31" i="46"/>
  <c r="E31" i="46"/>
  <c r="G20" i="46"/>
  <c r="I44" i="46"/>
  <c r="E20" i="46"/>
  <c r="F20" i="46" s="1"/>
  <c r="G19" i="46"/>
  <c r="D21" i="46"/>
  <c r="H19" i="46"/>
  <c r="H21" i="46" s="1"/>
  <c r="E19" i="46"/>
  <c r="I16" i="29"/>
  <c r="I17" i="29" s="1"/>
  <c r="G17" i="29"/>
  <c r="G11" i="29"/>
  <c r="I20" i="46" l="1"/>
  <c r="F44" i="46"/>
  <c r="E45" i="46"/>
  <c r="I31" i="46"/>
  <c r="I43" i="46"/>
  <c r="F43" i="46"/>
  <c r="D45" i="46"/>
  <c r="G33" i="46"/>
  <c r="I33" i="46" s="1"/>
  <c r="E21" i="46"/>
  <c r="F21" i="46" s="1"/>
  <c r="G45" i="46"/>
  <c r="I45" i="46" s="1"/>
  <c r="D33" i="46"/>
  <c r="E33" i="46"/>
  <c r="F31" i="46"/>
  <c r="I19" i="46"/>
  <c r="G21" i="46"/>
  <c r="I21" i="46" s="1"/>
  <c r="F19" i="46"/>
  <c r="F45" i="46" l="1"/>
  <c r="F33" i="46"/>
  <c r="E9" i="29"/>
  <c r="D44" i="36"/>
  <c r="E44" i="36" s="1"/>
  <c r="E45" i="36"/>
  <c r="D33" i="36"/>
  <c r="D32" i="36"/>
  <c r="D22" i="36"/>
  <c r="E22" i="36" s="1"/>
  <c r="D21" i="36"/>
  <c r="C33" i="36"/>
  <c r="C32" i="36"/>
  <c r="B33" i="36"/>
  <c r="B32" i="36"/>
  <c r="C21" i="36"/>
  <c r="B21" i="36"/>
  <c r="P15" i="27"/>
  <c r="R15" i="27"/>
  <c r="I8" i="29"/>
  <c r="I11" i="29" s="1"/>
  <c r="I21" i="29" s="1"/>
  <c r="R8" i="27"/>
  <c r="E8" i="29"/>
  <c r="E11" i="29" s="1"/>
  <c r="E15" i="29" l="1"/>
  <c r="E17" i="29" s="1"/>
  <c r="E21" i="29" s="1"/>
  <c r="S15" i="27"/>
  <c r="I9" i="30"/>
  <c r="H9" i="30"/>
  <c r="E9" i="30"/>
  <c r="D9" i="30"/>
  <c r="H11" i="27"/>
  <c r="E33" i="36"/>
  <c r="E32" i="36"/>
  <c r="E21" i="36"/>
  <c r="B28" i="36" l="1"/>
  <c r="C8" i="42" l="1"/>
  <c r="G10" i="40" l="1"/>
  <c r="G11" i="40"/>
  <c r="G9" i="40"/>
  <c r="H12" i="40" l="1"/>
  <c r="S22" i="27"/>
  <c r="S16" i="27"/>
  <c r="S8" i="27"/>
  <c r="S11" i="27" s="1"/>
  <c r="D40" i="36"/>
  <c r="C40" i="36"/>
  <c r="C8" i="41" s="1"/>
  <c r="B40" i="36"/>
  <c r="O21" i="27"/>
  <c r="O18" i="27"/>
  <c r="O15" i="27"/>
  <c r="O14" i="27"/>
  <c r="O10" i="27"/>
  <c r="O9" i="27"/>
  <c r="O8" i="27"/>
  <c r="D29" i="36"/>
  <c r="C29" i="36"/>
  <c r="B29" i="36"/>
  <c r="B4" i="36" l="1"/>
  <c r="S26" i="27"/>
  <c r="D8" i="41"/>
  <c r="D15" i="41"/>
  <c r="E15" i="41" s="1"/>
  <c r="E8" i="41"/>
  <c r="K21" i="27"/>
  <c r="K20" i="27"/>
  <c r="K18" i="27"/>
  <c r="K15" i="27"/>
  <c r="K14" i="27"/>
  <c r="K9" i="27"/>
  <c r="K10" i="27"/>
  <c r="K8" i="27"/>
  <c r="D18" i="36"/>
  <c r="C18" i="36"/>
  <c r="B18" i="36"/>
  <c r="G21" i="27"/>
  <c r="G20" i="27"/>
  <c r="G18" i="27"/>
  <c r="F16" i="27"/>
  <c r="G15" i="27"/>
  <c r="G14" i="27"/>
  <c r="G9" i="27"/>
  <c r="G10" i="27"/>
  <c r="G8" i="27"/>
  <c r="C19" i="36" l="1"/>
  <c r="C52" i="36"/>
  <c r="E52" i="36" l="1"/>
  <c r="D57" i="36"/>
  <c r="D56" i="36"/>
  <c r="D55" i="36"/>
  <c r="C57" i="36"/>
  <c r="E57" i="36" s="1"/>
  <c r="C56" i="36"/>
  <c r="E56" i="36" s="1"/>
  <c r="C54" i="36"/>
  <c r="E54" i="36" s="1"/>
  <c r="C53" i="36"/>
  <c r="E53" i="36" s="1"/>
  <c r="C51" i="36"/>
  <c r="E51" i="36" s="1"/>
  <c r="B57" i="36"/>
  <c r="B56" i="36"/>
  <c r="B54" i="36"/>
  <c r="B53" i="36"/>
  <c r="B52" i="36"/>
  <c r="B51" i="36"/>
  <c r="E29" i="36"/>
  <c r="E40" i="36"/>
  <c r="E23" i="36"/>
  <c r="E18" i="36"/>
  <c r="E55" i="36" l="1"/>
  <c r="H4" i="35" l="1"/>
  <c r="C7" i="36" l="1"/>
  <c r="E7" i="36" s="1"/>
  <c r="E4" i="36"/>
  <c r="G4" i="36" s="1"/>
  <c r="H13" i="31" l="1"/>
  <c r="F13" i="31"/>
  <c r="E11" i="31"/>
  <c r="E10" i="31"/>
  <c r="E9" i="31"/>
  <c r="I12" i="31" l="1"/>
  <c r="F12" i="31"/>
  <c r="H12" i="31"/>
  <c r="E12" i="31"/>
  <c r="H8" i="41"/>
  <c r="J11" i="31" l="1"/>
  <c r="J10" i="31"/>
  <c r="J9" i="31"/>
  <c r="J8" i="31"/>
  <c r="J7" i="31"/>
  <c r="J6" i="31"/>
  <c r="J5" i="31"/>
  <c r="J4" i="31"/>
  <c r="K11" i="31" l="1"/>
  <c r="H11" i="31"/>
  <c r="G11" i="31"/>
  <c r="F11" i="31"/>
  <c r="K10" i="31"/>
  <c r="G10" i="31"/>
  <c r="F10" i="31"/>
  <c r="K9" i="31"/>
  <c r="H9" i="31"/>
  <c r="G9" i="31"/>
  <c r="F9" i="31"/>
  <c r="K8" i="31"/>
  <c r="G8" i="31"/>
  <c r="F8" i="31"/>
  <c r="K7" i="31"/>
  <c r="G7" i="31"/>
  <c r="F7" i="31"/>
  <c r="K6" i="31"/>
  <c r="G6" i="31"/>
  <c r="F6" i="31"/>
  <c r="K5" i="31"/>
  <c r="G5" i="31"/>
  <c r="F5" i="31"/>
  <c r="K4" i="31"/>
  <c r="G4" i="31"/>
  <c r="F4" i="31"/>
  <c r="H10" i="31" l="1"/>
  <c r="H8" i="31" l="1"/>
  <c r="H6" i="31"/>
  <c r="H5" i="31"/>
  <c r="J22" i="27"/>
  <c r="I4" i="31" l="1"/>
  <c r="H4" i="31"/>
  <c r="J16" i="27"/>
  <c r="H7" i="31"/>
  <c r="J11" i="27"/>
  <c r="J26" i="27" s="1"/>
  <c r="C28" i="36" l="1"/>
  <c r="C30" i="36"/>
  <c r="I11" i="31"/>
  <c r="I10" i="31"/>
  <c r="I9" i="31"/>
  <c r="I8" i="31"/>
  <c r="I7" i="31"/>
  <c r="C31" i="36" l="1"/>
  <c r="C35" i="36" s="1"/>
  <c r="I16" i="30"/>
  <c r="H16" i="30"/>
  <c r="G16" i="30"/>
  <c r="F16" i="30"/>
  <c r="E16" i="30"/>
  <c r="G10" i="30"/>
  <c r="I10" i="30"/>
  <c r="I19" i="30" s="1"/>
  <c r="H10" i="30"/>
  <c r="F10" i="30"/>
  <c r="E10" i="30"/>
  <c r="D16" i="30"/>
  <c r="D10" i="30"/>
  <c r="D19" i="30" s="1"/>
  <c r="G19" i="30" l="1"/>
  <c r="F19" i="30"/>
  <c r="E19" i="30"/>
  <c r="H19" i="30"/>
  <c r="B8" i="36" s="1"/>
  <c r="E8" i="36" s="1"/>
  <c r="H17" i="29"/>
  <c r="F17" i="29"/>
  <c r="D17" i="29"/>
  <c r="H11" i="29"/>
  <c r="F11" i="29"/>
  <c r="D11" i="29"/>
  <c r="E22" i="27"/>
  <c r="H22" i="27"/>
  <c r="I22" i="27"/>
  <c r="K22" i="27" s="1"/>
  <c r="L22" i="27"/>
  <c r="M22" i="27"/>
  <c r="N22" i="27"/>
  <c r="O22" i="27" s="1"/>
  <c r="P22" i="27"/>
  <c r="Q22" i="27"/>
  <c r="R22" i="27"/>
  <c r="D22" i="27"/>
  <c r="E16" i="27"/>
  <c r="H16" i="27"/>
  <c r="I16" i="27"/>
  <c r="L16" i="27"/>
  <c r="B41" i="36" s="1"/>
  <c r="M16" i="27"/>
  <c r="D41" i="36" s="1"/>
  <c r="N16" i="27"/>
  <c r="P16" i="27"/>
  <c r="Q16" i="27"/>
  <c r="R16" i="27"/>
  <c r="D16" i="27"/>
  <c r="B19" i="36" s="1"/>
  <c r="E7" i="31"/>
  <c r="E11" i="27"/>
  <c r="E26" i="27" s="1"/>
  <c r="I11" i="27"/>
  <c r="L11" i="27"/>
  <c r="M11" i="27"/>
  <c r="M26" i="27" s="1"/>
  <c r="P11" i="27"/>
  <c r="P26" i="27" s="1"/>
  <c r="Q11" i="27"/>
  <c r="R11" i="27"/>
  <c r="D11" i="27"/>
  <c r="E4" i="31"/>
  <c r="Q26" i="27" l="1"/>
  <c r="B5" i="36"/>
  <c r="I26" i="27"/>
  <c r="R26" i="27"/>
  <c r="B30" i="36"/>
  <c r="B31" i="36" s="1"/>
  <c r="B35" i="36" s="1"/>
  <c r="H26" i="27"/>
  <c r="D17" i="36"/>
  <c r="D20" i="36" s="1"/>
  <c r="D24" i="36" s="1"/>
  <c r="B17" i="36"/>
  <c r="B20" i="36" s="1"/>
  <c r="B24" i="36" s="1"/>
  <c r="D26" i="27"/>
  <c r="B39" i="36"/>
  <c r="B42" i="36" s="1"/>
  <c r="B46" i="36" s="1"/>
  <c r="L26" i="27"/>
  <c r="D39" i="36"/>
  <c r="D14" i="41" s="1"/>
  <c r="E14" i="41" s="1"/>
  <c r="D9" i="41"/>
  <c r="D16" i="41"/>
  <c r="D17" i="41" s="1"/>
  <c r="D19" i="36"/>
  <c r="E19" i="36" s="1"/>
  <c r="G16" i="27"/>
  <c r="B6" i="36"/>
  <c r="D42" i="36"/>
  <c r="D46" i="36" s="1"/>
  <c r="D28" i="36"/>
  <c r="K11" i="27"/>
  <c r="D30" i="36"/>
  <c r="E30" i="36" s="1"/>
  <c r="K16" i="27"/>
  <c r="O16" i="27"/>
  <c r="C41" i="36"/>
  <c r="E5" i="31"/>
  <c r="E8" i="31"/>
  <c r="E6" i="31"/>
  <c r="I5" i="31"/>
  <c r="I6" i="31"/>
  <c r="F22" i="27"/>
  <c r="G22" i="27" s="1"/>
  <c r="F11" i="27"/>
  <c r="D7" i="41" l="1"/>
  <c r="C17" i="36"/>
  <c r="F26" i="27"/>
  <c r="G26" i="27" s="1"/>
  <c r="D10" i="41"/>
  <c r="D31" i="36"/>
  <c r="E28" i="36"/>
  <c r="C9" i="41"/>
  <c r="E41" i="36"/>
  <c r="G11" i="27"/>
  <c r="E6" i="36"/>
  <c r="E5" i="36"/>
  <c r="N11" i="27"/>
  <c r="N26" i="27" l="1"/>
  <c r="O26" i="27" s="1"/>
  <c r="B3" i="36"/>
  <c r="B4" i="35"/>
  <c r="E9" i="41"/>
  <c r="C16" i="41"/>
  <c r="E31" i="36"/>
  <c r="E4" i="35"/>
  <c r="C39" i="36"/>
  <c r="O11" i="27"/>
  <c r="E17" i="36"/>
  <c r="C20" i="36"/>
  <c r="C24" i="36" s="1"/>
  <c r="E24" i="36" s="1"/>
  <c r="K26" i="27"/>
  <c r="C17" i="41" l="1"/>
  <c r="E16" i="41"/>
  <c r="C7" i="41"/>
  <c r="C42" i="36"/>
  <c r="C46" i="36" s="1"/>
  <c r="E46" i="36" s="1"/>
  <c r="I2" i="36" s="1"/>
  <c r="E39" i="36"/>
  <c r="E20" i="36"/>
  <c r="E17" i="41" l="1"/>
  <c r="I7" i="41"/>
  <c r="E3" i="36"/>
  <c r="G3" i="36" s="1"/>
  <c r="E42" i="36"/>
  <c r="C10" i="41"/>
  <c r="E7" i="41"/>
  <c r="E10" i="41" l="1"/>
  <c r="H7" i="41"/>
  <c r="D34" i="36"/>
  <c r="D35" i="36" s="1"/>
  <c r="E35" i="36" s="1"/>
  <c r="J2" i="36" s="1"/>
  <c r="K24" i="27"/>
  <c r="E34" i="36" l="1"/>
</calcChain>
</file>

<file path=xl/sharedStrings.xml><?xml version="1.0" encoding="utf-8"?>
<sst xmlns="http://schemas.openxmlformats.org/spreadsheetml/2006/main" count="645" uniqueCount="381">
  <si>
    <t>Utility-Administered Programs ex-ante energy savings 
(MWh)</t>
  </si>
  <si>
    <t>Comfort Partners ex-ante energy savings  (MWh)</t>
  </si>
  <si>
    <r>
      <t>Other Programs ex-ante energy savings  (MWh)</t>
    </r>
    <r>
      <rPr>
        <vertAlign val="superscript"/>
        <sz val="9"/>
        <color rgb="FFFFFFFF"/>
        <rFont val="Calibri"/>
        <family val="2"/>
        <scheme val="minor"/>
      </rPr>
      <t>1</t>
    </r>
  </si>
  <si>
    <t>Total ex-ante energy savings 
(MWh)</t>
  </si>
  <si>
    <r>
      <t>Compliance Baseline  (MWh)</t>
    </r>
    <r>
      <rPr>
        <vertAlign val="superscript"/>
        <sz val="9"/>
        <color rgb="FFFFFFFF"/>
        <rFont val="Calibri"/>
        <family val="2"/>
        <scheme val="minor"/>
      </rPr>
      <t>2</t>
    </r>
  </si>
  <si>
    <t>Annual Target
 (%)</t>
  </si>
  <si>
    <t>Annual Target 
(MWh)</t>
  </si>
  <si>
    <t xml:space="preserve">Percent of Annual Target 
(%) </t>
  </si>
  <si>
    <t>(A)</t>
  </si>
  <si>
    <t>(B)</t>
  </si>
  <si>
    <t xml:space="preserve">(C) </t>
  </si>
  <si>
    <t xml:space="preserve">(D) = (A)+(B)+(C) </t>
  </si>
  <si>
    <t>(E)</t>
  </si>
  <si>
    <t>(F)</t>
  </si>
  <si>
    <t>(G) = (E)*(F)</t>
  </si>
  <si>
    <t>(H) = (D) / (G)</t>
  </si>
  <si>
    <r>
      <rPr>
        <vertAlign val="superscript"/>
        <sz val="11"/>
        <color theme="1"/>
        <rFont val="Calibri"/>
        <family val="2"/>
        <scheme val="minor"/>
      </rPr>
      <t>1</t>
    </r>
    <r>
      <rPr>
        <sz val="11"/>
        <color theme="1"/>
        <rFont val="Calibri"/>
        <family val="2"/>
        <scheme val="minor"/>
      </rPr>
      <t xml:space="preserve"> RECO does not have any legacy energy efficiency programs.</t>
    </r>
  </si>
  <si>
    <r>
      <rPr>
        <vertAlign val="superscript"/>
        <sz val="11"/>
        <color theme="1"/>
        <rFont val="Calibri"/>
        <family val="2"/>
        <scheme val="minor"/>
      </rPr>
      <t>2</t>
    </r>
    <r>
      <rPr>
        <sz val="11"/>
        <color theme="1"/>
        <rFont val="Calibri"/>
        <family val="2"/>
        <scheme val="minor"/>
      </rPr>
      <t xml:space="preserve"> Calculated as average annual electricity usage in the prior three calendar years per N.J.S.A. 48:3-87.9(a).</t>
    </r>
  </si>
  <si>
    <t>Table 2 – Quantitative Performance Indicators</t>
  </si>
  <si>
    <t>Annual Energy Savings</t>
  </si>
  <si>
    <t>Expenditures</t>
  </si>
  <si>
    <t>Utility-Administered Plan Year Results</t>
  </si>
  <si>
    <t>Comfort Partners Plan Year Results</t>
  </si>
  <si>
    <t>Other Programs Plan Year Results</t>
  </si>
  <si>
    <t>Total Plan Year Results</t>
  </si>
  <si>
    <r>
      <t>Annual Target</t>
    </r>
    <r>
      <rPr>
        <vertAlign val="superscript"/>
        <sz val="9"/>
        <color rgb="FFFFFFFF"/>
        <rFont val="Calibri"/>
        <family val="2"/>
        <scheme val="minor"/>
      </rPr>
      <t>1</t>
    </r>
  </si>
  <si>
    <t>Percent of Annual Target Achieved</t>
  </si>
  <si>
    <t>Annual Energy Savings (MWh)</t>
  </si>
  <si>
    <t>Lifetime Savings (MWh)</t>
  </si>
  <si>
    <t>Annual Demand Savings (MW)</t>
  </si>
  <si>
    <r>
      <t>Lifetime Persisting Demand Savings (MW-year)</t>
    </r>
    <r>
      <rPr>
        <vertAlign val="superscript"/>
        <sz val="11"/>
        <color theme="1"/>
        <rFont val="Calibri"/>
        <family val="2"/>
        <scheme val="minor"/>
      </rPr>
      <t>2</t>
    </r>
  </si>
  <si>
    <t>Low/Moderate-Income Lifetime Savings (MWh)</t>
  </si>
  <si>
    <t>Small Commercial Lifetime Savings (MWh)</t>
  </si>
  <si>
    <t>2 - Reflects Annual Demand Savings multiplied by the Effective Useful Life of installed equipment</t>
  </si>
  <si>
    <t>3 - Cost Effectiveness impacts are not calculated for Comfort Partners or Other Programs</t>
  </si>
  <si>
    <t>Table 3 – Sector-Level Participation</t>
  </si>
  <si>
    <r>
      <t>Sector</t>
    </r>
    <r>
      <rPr>
        <vertAlign val="superscript"/>
        <sz val="9"/>
        <color indexed="9"/>
        <rFont val="Calibri"/>
        <family val="2"/>
        <scheme val="minor"/>
      </rPr>
      <t>1</t>
    </r>
  </si>
  <si>
    <t>Quarter Participants</t>
  </si>
  <si>
    <t>YTD Participants</t>
  </si>
  <si>
    <t>Annual Forecasted Participants</t>
  </si>
  <si>
    <t>Percent of Annual Forecast</t>
  </si>
  <si>
    <t>Residential</t>
  </si>
  <si>
    <t>Multifamily</t>
  </si>
  <si>
    <t>C&amp;I</t>
  </si>
  <si>
    <t>Reported Totals for Utility Administered Programs</t>
  </si>
  <si>
    <t>Comfort Partners</t>
  </si>
  <si>
    <t>Utility Total</t>
  </si>
  <si>
    <t>Table 4 – Sector-Level Expenditures</t>
  </si>
  <si>
    <r>
      <t>Expenditures</t>
    </r>
    <r>
      <rPr>
        <vertAlign val="superscript"/>
        <sz val="9"/>
        <color indexed="9"/>
        <rFont val="Calibri"/>
        <family val="2"/>
        <scheme val="minor"/>
      </rPr>
      <t>1</t>
    </r>
  </si>
  <si>
    <t>Quarter Expenditures ($000)</t>
  </si>
  <si>
    <t>YTD Expenditures ($000)</t>
  </si>
  <si>
    <t>Annual Budget ($000)</t>
  </si>
  <si>
    <t>Percent of Annual Budget</t>
  </si>
  <si>
    <t>Table 5 – Sector-Level Energy Savings</t>
  </si>
  <si>
    <r>
      <t>Annual Energy Savings</t>
    </r>
    <r>
      <rPr>
        <vertAlign val="superscript"/>
        <sz val="9"/>
        <color indexed="9"/>
        <rFont val="Calibri"/>
        <family val="2"/>
        <scheme val="minor"/>
      </rPr>
      <t>1</t>
    </r>
  </si>
  <si>
    <t>Quarter Retail (MWh)</t>
  </si>
  <si>
    <t>YTD Retail (MWh)</t>
  </si>
  <si>
    <t>Annual Target Retail Savings (MWh)</t>
  </si>
  <si>
    <t>Percent of Annual Target</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</si>
  <si>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</si>
  <si>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</si>
  <si>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</si>
  <si>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</si>
  <si>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</si>
  <si>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</si>
  <si>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</si>
  <si>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</si>
  <si>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</si>
  <si>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</si>
  <si>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</si>
  <si>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</si>
  <si>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</si>
  <si>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</si>
  <si>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Table 7 – Equity Performance</t>
  </si>
  <si>
    <t>Territory-Level Benchmarks</t>
  </si>
  <si>
    <r>
      <t>Overburdened</t>
    </r>
    <r>
      <rPr>
        <vertAlign val="superscript"/>
        <sz val="9"/>
        <color indexed="9"/>
        <rFont val="Calibri"/>
        <family val="2"/>
        <scheme val="minor"/>
      </rPr>
      <t>1</t>
    </r>
  </si>
  <si>
    <t>Non-Overburdened</t>
  </si>
  <si>
    <t>%OBC2</t>
  </si>
  <si>
    <t>Population</t>
  </si>
  <si>
    <t># of Household Accounts</t>
  </si>
  <si>
    <t># of Business Acounts</t>
  </si>
  <si>
    <t>Total Annual Energy (MWh)</t>
  </si>
  <si>
    <t>Type of Program/Offering</t>
  </si>
  <si>
    <r>
      <t>Quarter Overburdened</t>
    </r>
    <r>
      <rPr>
        <vertAlign val="superscript"/>
        <sz val="9"/>
        <color indexed="9"/>
        <rFont val="Calibri"/>
        <family val="2"/>
        <scheme val="minor"/>
      </rPr>
      <t>1</t>
    </r>
  </si>
  <si>
    <t>Quarter Non-Overburdened</t>
  </si>
  <si>
    <r>
      <t>Annual Overburdened</t>
    </r>
    <r>
      <rPr>
        <vertAlign val="superscript"/>
        <sz val="9"/>
        <color indexed="9"/>
        <rFont val="Calibri"/>
        <family val="2"/>
        <scheme val="minor"/>
      </rPr>
      <t>1</t>
    </r>
  </si>
  <si>
    <t>Annual Non-Overburdened</t>
  </si>
  <si>
    <t>Participation</t>
  </si>
  <si>
    <t>Total Core Participation</t>
  </si>
  <si>
    <t>Total Non-Core Participation</t>
  </si>
  <si>
    <t>Total Participation</t>
  </si>
  <si>
    <t>Total Core Expenditures</t>
  </si>
  <si>
    <t>Total Non-Core Expenditures</t>
  </si>
  <si>
    <t>Total Expenditures</t>
  </si>
  <si>
    <t xml:space="preserve">Annual Energy Savings </t>
  </si>
  <si>
    <t>Total Core Annual Energy Savings</t>
  </si>
  <si>
    <t>Total Non-Core Annual Energy Savings</t>
  </si>
  <si>
    <t>Total Annual Energy Savings</t>
  </si>
  <si>
    <t>Table 8 -  Benefit-Cost Test Results</t>
  </si>
  <si>
    <t>Program</t>
  </si>
  <si>
    <t>Initial</t>
  </si>
  <si>
    <t>Final</t>
  </si>
  <si>
    <t>NJCT</t>
  </si>
  <si>
    <t>PCT</t>
  </si>
  <si>
    <t>PACT</t>
  </si>
  <si>
    <t>RIMT</t>
  </si>
  <si>
    <t>TRCT</t>
  </si>
  <si>
    <t>SCT</t>
  </si>
  <si>
    <t>Residential Efficient Products</t>
  </si>
  <si>
    <t>Home Performance with Energy Star</t>
  </si>
  <si>
    <t>Multi-Family</t>
  </si>
  <si>
    <t>Small Business Direct Install</t>
  </si>
  <si>
    <t>Commercial and Industrial Rebate</t>
  </si>
  <si>
    <t>EE Portfolio</t>
  </si>
  <si>
    <t>Peak Demand Reduction</t>
  </si>
  <si>
    <t>Clean Heat Beneficial Electrification</t>
  </si>
  <si>
    <t xml:space="preserve">In Word document only </t>
  </si>
  <si>
    <t>Energy Efficiency and PDR Savings Summary</t>
  </si>
  <si>
    <t>For Period Ending PY22Q4</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</si>
  <si>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</si>
  <si>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</si>
  <si>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</si>
  <si>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</si>
  <si>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</si>
  <si>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</si>
  <si>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</si>
  <si>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</si>
  <si>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</si>
  <si>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</si>
  <si>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</si>
  <si>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</si>
  <si>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</si>
  <si>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</si>
  <si>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</si>
  <si>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</si>
  <si>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</si>
  <si>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</si>
  <si>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</si>
  <si>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</si>
  <si>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</si>
  <si>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</si>
  <si>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</si>
  <si>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</si>
  <si>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r>
      <t>Annual Forecasted Program Costs ($000)</t>
    </r>
    <r>
      <rPr>
        <vertAlign val="superscript"/>
        <sz val="9"/>
        <color rgb="FFFFFFFF"/>
        <rFont val="Calibri"/>
        <family val="2"/>
        <scheme val="minor"/>
      </rPr>
      <t>1</t>
    </r>
  </si>
  <si>
    <t>YTD Reported Program Costs ($000)</t>
  </si>
  <si>
    <t>YTD % of Annual Budget</t>
  </si>
  <si>
    <t>Quarter Annual Retail Energy Savings (MWh)</t>
  </si>
  <si>
    <t>Annual Forecasted Retail Energy Savings (MWh)</t>
  </si>
  <si>
    <t>YTD Reported Retail Energy Savings (MWh)</t>
  </si>
  <si>
    <t>YTD % of Annual Energy Savings</t>
  </si>
  <si>
    <t>YTD Peak Demand Savings (MW)</t>
  </si>
  <si>
    <t>Quarter Lifetime Savings (MWh)</t>
  </si>
  <si>
    <t>YTD Lifetime Savings (MWh)</t>
  </si>
  <si>
    <t>Residential Programs</t>
  </si>
  <si>
    <t>Efficient Products*</t>
  </si>
  <si>
    <t>Behavioral EE, Midstream, Marketplace, HVAC</t>
  </si>
  <si>
    <t>Existing Homes*</t>
  </si>
  <si>
    <t>Moderate Income Weatherization</t>
  </si>
  <si>
    <t>Total Residential</t>
  </si>
  <si>
    <t>Business Programs</t>
  </si>
  <si>
    <t>Sub-Program</t>
  </si>
  <si>
    <t>C&amp;I Direct Install*</t>
  </si>
  <si>
    <t>N/A</t>
  </si>
  <si>
    <t>C&amp;I Rebate Program*</t>
  </si>
  <si>
    <t>Prescriptive/Custom, Energy Management, Engineered Solutions</t>
  </si>
  <si>
    <t>Total Business</t>
  </si>
  <si>
    <t>Multi-Family*</t>
  </si>
  <si>
    <t>Pilot Programs</t>
  </si>
  <si>
    <t>Bring Your Own Thermostat, Commercial System Relief Program, Behavioral DR</t>
  </si>
  <si>
    <t>Clean Heat Beneficial Electrification**</t>
  </si>
  <si>
    <t>Total Pilot</t>
  </si>
  <si>
    <t>Supportive Costs Outside Portfolio</t>
  </si>
  <si>
    <t>Portfolio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</si>
  <si>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</si>
  <si>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</si>
  <si>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 xml:space="preserve">  </t>
  </si>
  <si>
    <t>Incentive Expenditures (Customer Rebates and Low/no-cost financing)</t>
  </si>
  <si>
    <t>D</t>
  </si>
  <si>
    <t>YTD Reported Incentive Costs ($000)</t>
  </si>
  <si>
    <t>LMI</t>
  </si>
  <si>
    <t>Non-LMI or Unverified</t>
  </si>
  <si>
    <t>Efficient Products</t>
  </si>
  <si>
    <t>Existing Homes</t>
  </si>
  <si>
    <t>YTD Reported Incentive Costs ($)</t>
  </si>
  <si>
    <t>Small Commercial</t>
  </si>
  <si>
    <t>Large Commercial</t>
  </si>
  <si>
    <t>C&amp;I Direct Install</t>
  </si>
  <si>
    <t>C&amp;I Rebate Program</t>
  </si>
  <si>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</si>
  <si>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</si>
  <si>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</si>
  <si>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</si>
  <si>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</si>
  <si>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</si>
  <si>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</si>
  <si>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</si>
  <si>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</si>
  <si>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</si>
  <si>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</si>
  <si>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</si>
  <si>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</si>
  <si>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</si>
  <si>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</si>
  <si>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(C) = (A)-(B)</t>
  </si>
  <si>
    <t xml:space="preserve">(D) = Average (C) </t>
  </si>
  <si>
    <t>(F) = (E) * (D)</t>
  </si>
  <si>
    <t>(G)</t>
  </si>
  <si>
    <t>(H) = (G) * (D)</t>
  </si>
  <si>
    <t>(I)</t>
  </si>
  <si>
    <t>(J) = (I) * (D)</t>
  </si>
  <si>
    <t>RECO</t>
  </si>
  <si>
    <t>7/1/18 - 6/30/19</t>
  </si>
  <si>
    <t>7/1/19 - 6/30/20</t>
  </si>
  <si>
    <t>7/1/20 - 6/30/21</t>
  </si>
  <si>
    <t>Plan Year 2022</t>
  </si>
  <si>
    <t>Notes:</t>
  </si>
  <si>
    <t>(A) Includes sales as reported on FERC Form-1, as adjusted for the given sales period (planning year)</t>
  </si>
  <si>
    <t>(B) No included adjustments</t>
  </si>
  <si>
    <t>(E,G,I) No formal targets were established for PY22 in the June 2020 CEA Framework Order</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</si>
  <si>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</si>
  <si>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</si>
  <si>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</si>
  <si>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</si>
  <si>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</si>
  <si>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</si>
  <si>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</si>
  <si>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</si>
  <si>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</si>
  <si>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</si>
  <si>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</si>
  <si>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</si>
  <si>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</si>
  <si>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</si>
  <si>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RECO</t>
  </si>
  <si>
    <t>Dth held for transfer</t>
  </si>
  <si>
    <t>Total</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</si>
  <si>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</si>
  <si>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</si>
  <si>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</si>
  <si>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</si>
  <si>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</si>
  <si>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</si>
  <si>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</si>
  <si>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</si>
  <si>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</si>
  <si>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</si>
  <si>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</si>
  <si>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</si>
  <si>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</si>
  <si>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</si>
  <si>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</si>
  <si>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</si>
  <si>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</si>
  <si>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</si>
  <si>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</si>
  <si>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</si>
  <si>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</si>
  <si>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</si>
  <si>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</si>
  <si>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</si>
  <si>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</si>
  <si>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</si>
  <si>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</si>
  <si>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</si>
  <si>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</si>
  <si>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</si>
  <si>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</si>
  <si>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</si>
  <si>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</si>
  <si>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</si>
  <si>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</si>
  <si>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</si>
  <si>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</si>
  <si>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</si>
  <si>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</si>
  <si>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</si>
  <si>
    <t>Reporting Period</t>
  </si>
  <si>
    <t>FY22-Q4</t>
  </si>
  <si>
    <t>Program/Utility Information</t>
  </si>
  <si>
    <t>Participants</t>
  </si>
  <si>
    <r>
      <t xml:space="preserve">Budget &amp; Expenses </t>
    </r>
    <r>
      <rPr>
        <b/>
        <sz val="11"/>
        <color theme="1"/>
        <rFont val="Calibri"/>
        <family val="2"/>
        <scheme val="minor"/>
      </rPr>
      <t>($000)</t>
    </r>
  </si>
  <si>
    <t>Energy Savings</t>
  </si>
  <si>
    <t>Utility</t>
  </si>
  <si>
    <t>Sector</t>
  </si>
  <si>
    <t>Annual Budget</t>
  </si>
  <si>
    <t>YTD Reported Incentive Costs</t>
  </si>
  <si>
    <t>YTD Reported Program Costs</t>
  </si>
  <si>
    <t>YTD Annual Electric Savings
(MWh)</t>
  </si>
  <si>
    <t>YTD Lifetime Electric Savings
(MWh)</t>
  </si>
  <si>
    <t>YTD Peak Demand Electric Savings
(MW)</t>
  </si>
  <si>
    <t>YTD Annual Gas Savings
(Dtherm)</t>
  </si>
  <si>
    <t>YTD Lifetime Gas Savings
(Dtherm)</t>
  </si>
  <si>
    <t>HPwES</t>
  </si>
  <si>
    <t>Commercial</t>
  </si>
  <si>
    <t>Direct Install</t>
  </si>
  <si>
    <t>Energy Solutions for Business</t>
  </si>
  <si>
    <t xml:space="preserve">Pilot Program </t>
  </si>
  <si>
    <t>Prescriptive/Custom</t>
  </si>
  <si>
    <t>Program Manager</t>
  </si>
  <si>
    <t>ACE</t>
  </si>
  <si>
    <t>ETG</t>
  </si>
  <si>
    <t>JCPL</t>
  </si>
  <si>
    <t>NJNG</t>
  </si>
  <si>
    <t>PSEG</t>
  </si>
  <si>
    <t>SJG</t>
  </si>
  <si>
    <t>Reporting Quarter &amp; Year</t>
  </si>
  <si>
    <t>FY22-Q1</t>
  </si>
  <si>
    <t>FY22-Q2</t>
  </si>
  <si>
    <t>FY22-Q3</t>
  </si>
  <si>
    <t>FY23-Q1</t>
  </si>
  <si>
    <t>FY23-Q2</t>
  </si>
  <si>
    <t>FY23-Q3</t>
  </si>
  <si>
    <t>FY23-Q4</t>
  </si>
  <si>
    <t>FY24-Q1</t>
  </si>
  <si>
    <t>FY24-Q2</t>
  </si>
  <si>
    <t>FY24-Q3</t>
  </si>
  <si>
    <t>FY24-Q4</t>
  </si>
  <si>
    <r>
      <t>NJ</t>
    </r>
    <r>
      <rPr>
        <b/>
        <sz val="9"/>
        <color rgb="FF000000"/>
        <rFont val="Calibri"/>
        <family val="2"/>
      </rPr>
      <t xml:space="preserve"> Program</t>
    </r>
  </si>
  <si>
    <t>Participants (as lead utility)</t>
  </si>
  <si>
    <t>HVAC</t>
  </si>
  <si>
    <t>Sum of HVAC units (multiple units per customer, counts as multiple participants)</t>
  </si>
  <si>
    <t>Quantity of packages sold (based on SKU) - net of returns (negative in current period)</t>
  </si>
  <si>
    <t>Lighting - Upstream</t>
  </si>
  <si>
    <t>Rebated Products</t>
  </si>
  <si>
    <t>Quantity of units rebated (based on SKU)</t>
  </si>
  <si>
    <t>Mid-Stream Products</t>
  </si>
  <si>
    <t>Quantity of units sold (based on SKU) - net of returns (negative in current period)</t>
  </si>
  <si>
    <t>Appliance Recycling</t>
  </si>
  <si>
    <t>Count of visits to premise not units</t>
  </si>
  <si>
    <t>Online Marketplace</t>
  </si>
  <si>
    <t>EE Kits - Giveaway</t>
  </si>
  <si>
    <t>Per kit delivered</t>
  </si>
  <si>
    <t>For rebated programs, count of rebate applications For Midstream, every measure is considered a participant - net of returns (negative in current period)</t>
  </si>
  <si>
    <t>Consumer Electronics</t>
  </si>
  <si>
    <t>Count of completed HPwES projects</t>
  </si>
  <si>
    <t>Quick Home Energy Checkup</t>
  </si>
  <si>
    <t>Count of completed visits</t>
  </si>
  <si>
    <t>Same as HPwES - (distinction would be paying for audit in this program)</t>
  </si>
  <si>
    <t>Home Energy Education &amp; Management</t>
  </si>
  <si>
    <t>Behavioral</t>
  </si>
  <si>
    <t>Count of treatment customers at end of reporting period</t>
  </si>
  <si>
    <t>Count based on number of applications/projects completed, not account number</t>
  </si>
  <si>
    <t>Energy Management</t>
  </si>
  <si>
    <t>Engineered Solutions</t>
  </si>
  <si>
    <t>Count based on number of projects completed (see approach)</t>
  </si>
  <si>
    <t>Core</t>
  </si>
  <si>
    <t>NJCEP Comfort Partners</t>
  </si>
  <si>
    <t>Pilot</t>
  </si>
  <si>
    <t>Joint</t>
  </si>
  <si>
    <t>Q1 2020</t>
  </si>
  <si>
    <t>Q2 2020</t>
  </si>
  <si>
    <t>Q1 2021</t>
  </si>
  <si>
    <t>Q2 2021</t>
  </si>
  <si>
    <t>Q3 2021</t>
  </si>
  <si>
    <t>Q4 2021</t>
  </si>
  <si>
    <t>Q3 2020</t>
  </si>
  <si>
    <t>Q4 2020</t>
  </si>
  <si>
    <t>Q1 2019</t>
  </si>
  <si>
    <t>Q2 2019</t>
  </si>
  <si>
    <t>Q3 2019</t>
  </si>
  <si>
    <t>Q4 2019</t>
  </si>
  <si>
    <t>Q1 2018</t>
  </si>
  <si>
    <t>Q2 2018</t>
  </si>
  <si>
    <t>Q3 2018</t>
  </si>
  <si>
    <t>Q4 2018</t>
  </si>
  <si>
    <t>NA</t>
  </si>
  <si>
    <t>Sub Programs</t>
  </si>
  <si>
    <t>Appliance Recycling/Rebate, Behavioral, Retail Lighting, Marketplace, Midstream HVAC</t>
  </si>
  <si>
    <t>Home Performance with Energy Star, Quick Home Energy Check</t>
  </si>
  <si>
    <t>Prescriptive/Custom, Energy Management, Engineered Solutions, Midstream Lighting/HVAC</t>
  </si>
  <si>
    <t>C&amp;I Rebate</t>
  </si>
  <si>
    <r>
      <t>Net Present Value of Utility Cost Test Net Benefits ($)</t>
    </r>
    <r>
      <rPr>
        <vertAlign val="superscript"/>
        <sz val="11"/>
        <color theme="1"/>
        <rFont val="Calibri"/>
        <family val="2"/>
        <scheme val="minor"/>
      </rPr>
      <t>3</t>
    </r>
  </si>
  <si>
    <t>State-Wide Coordinator</t>
  </si>
  <si>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</si>
  <si>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r>
      <t>Reported Wholesale Energy Savings</t>
    </r>
    <r>
      <rPr>
        <vertAlign val="superscript"/>
        <sz val="9"/>
        <color rgb="FFFFFFFF"/>
        <rFont val="Calibri"/>
        <family val="2"/>
        <scheme val="minor"/>
      </rPr>
      <t>2</t>
    </r>
    <r>
      <rPr>
        <sz val="9"/>
        <color indexed="9"/>
        <rFont val="Calibri"/>
        <family val="2"/>
        <scheme val="minor"/>
      </rPr>
      <t xml:space="preserve"> (MWh)</t>
    </r>
  </si>
  <si>
    <t>Supportive Costs Outside Portfolio***</t>
  </si>
  <si>
    <t>***Supportive Costs include the Statewide Coordinator</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</si>
  <si>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</si>
  <si>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1,482 Smart T-Stats sold with a savings of 4.037 Dth each.</t>
  </si>
  <si>
    <t xml:space="preserve">** Savings are in MMBtu and are not included in the portfolio MWh total. </t>
  </si>
  <si>
    <t>1 - Annual Targets reflect estimated impacts as filed the Company's 2021-2024 Clean Energy Filing. Does not include Comfort Partners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</si>
</sst>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0.0%"/>
    <numFmt numFmtId="168" formatCode="&quot;$&quot;#,##0"/>
    <numFmt numFmtId="169" formatCode="#,##0.0"/>
  </numFmts>
  <fonts count="4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vertAlign val="superscript"/>
      <sz val="9"/>
      <color indexed="9"/>
      <name val="Calibri"/>
      <family val="2"/>
      <scheme val="minor"/>
    </font>
    <font>
      <vertAlign val="superscript"/>
      <sz val="11"/>
      <color theme="1"/>
      <name val="Calibri"/>
      <family val="2"/>
      <scheme val="minor"/>
    </font>
    <font>
      <sz val="11"/>
      <color theme="0"/>
      <name val="Calibri"/>
      <family val="2"/>
      <scheme val="minor"/>
    </font>
    <font>
      <strike/>
      <sz val="11"/>
      <color theme="1"/>
      <name val="Calibri"/>
      <family val="2"/>
      <scheme val="minor"/>
    </font>
    <font>
      <sz val="11"/>
      <name val="Arial Black"/>
      <family val="2"/>
    </font>
    <font>
      <u/>
      <sz val="16"/>
      <name val="Arial Black"/>
      <family val="2"/>
    </font>
    <font>
      <b/>
      <sz val="11"/>
      <name val="Calibri "/>
    </font>
    <font>
      <b/>
      <sz val="12"/>
      <color indexed="9"/>
      <name val="Calibri"/>
      <family val="2"/>
      <scheme val="minor"/>
    </font>
    <font>
      <sz val="12"/>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vertAlign val="superscript"/>
      <sz val="11"/>
      <color theme="1"/>
      <name val="Arial"/>
      <family val="2"/>
    </font>
    <font>
      <b/>
      <sz val="11"/>
      <color theme="1"/>
      <name val="Arial"/>
      <family val="2"/>
    </font>
    <font>
      <sz val="8"/>
      <name val="Calibri"/>
      <family val="2"/>
      <scheme val="minor"/>
    </font>
    <font>
      <sz val="8"/>
      <color theme="1"/>
      <name val="Arial"/>
      <family val="2"/>
    </font>
    <font>
      <b/>
      <sz val="9"/>
      <color theme="1"/>
      <name val="Calibri"/>
      <family val="2"/>
    </font>
    <font>
      <b/>
      <sz val="9"/>
      <color rgb="FF000000"/>
      <name val="Calibri"/>
      <family val="2"/>
    </font>
    <font>
      <sz val="9"/>
      <color theme="1"/>
      <name val="Times New Roman"/>
      <family val="1"/>
    </font>
    <font>
      <sz val="11"/>
      <color theme="1"/>
      <name val="Times New Roman"/>
      <family val="1"/>
    </font>
    <font>
      <sz val="9"/>
      <color theme="1"/>
      <name val="Calibri"/>
      <family val="2"/>
    </font>
    <font>
      <b/>
      <sz val="11"/>
      <color theme="1"/>
      <name val="Calibri"/>
      <family val="2"/>
    </font>
    <font>
      <sz val="8"/>
      <color theme="1"/>
      <name val="Times New Roman"/>
      <family val="1"/>
    </font>
    <font>
      <b/>
      <sz val="10"/>
      <color theme="1"/>
      <name val="Calibri"/>
      <family val="2"/>
    </font>
    <font>
      <b/>
      <sz val="10"/>
      <color theme="1"/>
      <name val="Times New Roman"/>
      <family val="1"/>
    </font>
    <font>
      <i/>
      <sz val="11"/>
      <color theme="1"/>
      <name val="Calibri"/>
      <family val="2"/>
      <scheme val="minor"/>
    </font>
    <font>
      <vertAlign val="superscript"/>
      <sz val="11"/>
      <color rgb="FF000000"/>
      <name val="Times New Roman"/>
      <family val="1"/>
    </font>
    <font>
      <sz val="11"/>
      <color rgb="FF000000"/>
      <name val="Times New Roman"/>
      <family val="1"/>
    </font>
  </fonts>
  <fills count="22">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A6A6A6"/>
        <bgColor indexed="64"/>
      </patternFill>
    </fill>
    <fill>
      <patternFill patternType="solid">
        <fgColor indexed="22"/>
        <bgColor indexed="64"/>
      </patternFill>
    </fill>
    <fill>
      <patternFill patternType="solid">
        <fgColor theme="0" tint="-0.14999847407452621"/>
        <bgColor indexed="64"/>
      </patternFill>
    </fill>
  </fills>
  <borders count="86">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thin">
        <color indexed="64"/>
      </left>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7" fillId="0" borderId="0"/>
    <xf numFmtId="0" fontId="25" fillId="0" borderId="0"/>
  </cellStyleXfs>
  <cellXfs count="559">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5"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2" borderId="24" xfId="0" applyFill="1" applyBorder="1" applyAlignment="1">
      <alignment vertical="center" wrapText="1"/>
    </xf>
    <xf numFmtId="0" fontId="0" fillId="5" borderId="17" xfId="0" applyFill="1" applyBorder="1"/>
    <xf numFmtId="0" fontId="3" fillId="3" borderId="17" xfId="0" applyFont="1" applyFill="1" applyBorder="1"/>
    <xf numFmtId="0" fontId="3" fillId="3" borderId="15" xfId="0" applyFont="1" applyFill="1" applyBorder="1"/>
    <xf numFmtId="164" fontId="3" fillId="3" borderId="15" xfId="1" applyNumberFormat="1" applyFont="1" applyFill="1" applyBorder="1" applyAlignment="1"/>
    <xf numFmtId="0" fontId="0" fillId="0" borderId="17" xfId="0" applyBorder="1"/>
    <xf numFmtId="0" fontId="2" fillId="0" borderId="0" xfId="0" applyFont="1"/>
    <xf numFmtId="165" fontId="2" fillId="0" borderId="0" xfId="2" applyNumberFormat="1" applyFont="1"/>
    <xf numFmtId="164" fontId="2" fillId="0" borderId="0" xfId="1" applyNumberFormat="1" applyFont="1"/>
    <xf numFmtId="0" fontId="3" fillId="3" borderId="28" xfId="0" applyFont="1" applyFill="1" applyBorder="1"/>
    <xf numFmtId="0" fontId="0" fillId="0" borderId="15" xfId="0" applyBorder="1" applyAlignment="1">
      <alignment vertical="center"/>
    </xf>
    <xf numFmtId="0" fontId="0" fillId="0" borderId="15" xfId="0" applyBorder="1"/>
    <xf numFmtId="0" fontId="7" fillId="2" borderId="7" xfId="0" applyFont="1" applyFill="1" applyBorder="1" applyAlignment="1">
      <alignment horizontal="center" vertical="center" wrapText="1"/>
    </xf>
    <xf numFmtId="0" fontId="3" fillId="3" borderId="31" xfId="0" applyFont="1" applyFill="1" applyBorder="1"/>
    <xf numFmtId="164" fontId="3" fillId="3" borderId="33" xfId="1" applyNumberFormat="1" applyFont="1" applyFill="1" applyBorder="1" applyAlignment="1"/>
    <xf numFmtId="0" fontId="10" fillId="0" borderId="0" xfId="0" applyFont="1"/>
    <xf numFmtId="0" fontId="7" fillId="2" borderId="37"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164" fontId="3" fillId="3" borderId="39" xfId="1" applyNumberFormat="1" applyFont="1" applyFill="1" applyBorder="1" applyAlignment="1"/>
    <xf numFmtId="0" fontId="3" fillId="3" borderId="29" xfId="0" applyFont="1" applyFill="1" applyBorder="1"/>
    <xf numFmtId="0" fontId="3" fillId="3" borderId="41"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3" xfId="0" applyFont="1" applyFill="1" applyBorder="1"/>
    <xf numFmtId="0" fontId="3" fillId="3" borderId="45" xfId="0" applyFont="1" applyFill="1" applyBorder="1"/>
    <xf numFmtId="0" fontId="3" fillId="3" borderId="47" xfId="0" applyFont="1" applyFill="1" applyBorder="1"/>
    <xf numFmtId="0" fontId="3" fillId="3" borderId="40" xfId="0" applyFont="1" applyFill="1" applyBorder="1"/>
    <xf numFmtId="0" fontId="7" fillId="2" borderId="1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0" fillId="0" borderId="16" xfId="0" applyBorder="1" applyAlignment="1">
      <alignment horizontal="center" vertical="center"/>
    </xf>
    <xf numFmtId="0" fontId="7" fillId="7" borderId="18"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50" xfId="0" applyFont="1" applyFill="1" applyBorder="1" applyAlignment="1">
      <alignment horizontal="center" vertical="center" wrapText="1"/>
    </xf>
    <xf numFmtId="0" fontId="0" fillId="5" borderId="15" xfId="0" applyFill="1" applyBorder="1"/>
    <xf numFmtId="0" fontId="0" fillId="0" borderId="15" xfId="0" applyBorder="1" applyAlignment="1">
      <alignment horizontal="left" vertical="center" wrapText="1"/>
    </xf>
    <xf numFmtId="42" fontId="0" fillId="0" borderId="15" xfId="2" applyNumberFormat="1" applyFont="1" applyBorder="1" applyAlignment="1">
      <alignment vertical="center"/>
    </xf>
    <xf numFmtId="42" fontId="0" fillId="0" borderId="15" xfId="2" applyNumberFormat="1" applyFont="1" applyBorder="1"/>
    <xf numFmtId="42" fontId="0" fillId="0" borderId="15" xfId="0" applyNumberFormat="1" applyBorder="1"/>
    <xf numFmtId="9" fontId="0" fillId="0" borderId="0" xfId="0" applyNumberFormat="1"/>
    <xf numFmtId="3" fontId="0" fillId="5" borderId="15" xfId="0" applyNumberFormat="1" applyFill="1" applyBorder="1"/>
    <xf numFmtId="42" fontId="0" fillId="5" borderId="15" xfId="0" applyNumberFormat="1" applyFill="1" applyBorder="1"/>
    <xf numFmtId="9" fontId="0" fillId="5" borderId="15" xfId="3" applyFont="1" applyFill="1" applyBorder="1"/>
    <xf numFmtId="3" fontId="3" fillId="3" borderId="15" xfId="0" applyNumberFormat="1" applyFont="1" applyFill="1" applyBorder="1"/>
    <xf numFmtId="9" fontId="3" fillId="3" borderId="15" xfId="3" applyFont="1" applyFill="1" applyBorder="1"/>
    <xf numFmtId="42" fontId="3" fillId="3" borderId="15" xfId="2" applyNumberFormat="1" applyFont="1" applyFill="1" applyBorder="1"/>
    <xf numFmtId="42" fontId="3" fillId="3" borderId="15" xfId="0" applyNumberFormat="1" applyFont="1" applyFill="1" applyBorder="1"/>
    <xf numFmtId="0" fontId="0" fillId="2" borderId="15" xfId="0" applyFill="1" applyBorder="1" applyAlignment="1">
      <alignment vertical="center" wrapText="1"/>
    </xf>
    <xf numFmtId="42" fontId="0" fillId="0" borderId="15" xfId="0" applyNumberFormat="1" applyBorder="1" applyAlignment="1">
      <alignment vertical="center"/>
    </xf>
    <xf numFmtId="3" fontId="0" fillId="0" borderId="15" xfId="0" applyNumberFormat="1" applyBorder="1" applyAlignment="1">
      <alignment vertical="center"/>
    </xf>
    <xf numFmtId="0" fontId="0" fillId="5" borderId="15" xfId="0" applyFill="1" applyBorder="1" applyAlignment="1">
      <alignment horizontal="left" vertical="center" wrapText="1"/>
    </xf>
    <xf numFmtId="42" fontId="0" fillId="5" borderId="15" xfId="2" applyNumberFormat="1" applyFont="1" applyFill="1" applyBorder="1"/>
    <xf numFmtId="0" fontId="3" fillId="3" borderId="16" xfId="0" applyFont="1" applyFill="1" applyBorder="1"/>
    <xf numFmtId="0" fontId="0" fillId="2" borderId="17" xfId="0" applyFill="1" applyBorder="1" applyAlignment="1">
      <alignment vertical="center" wrapText="1"/>
    </xf>
    <xf numFmtId="0" fontId="0" fillId="2" borderId="16" xfId="0" applyFill="1" applyBorder="1" applyAlignment="1">
      <alignment vertical="center" wrapText="1"/>
    </xf>
    <xf numFmtId="164" fontId="3" fillId="3" borderId="16" xfId="1" applyNumberFormat="1" applyFont="1" applyFill="1" applyBorder="1" applyAlignment="1"/>
    <xf numFmtId="0" fontId="0" fillId="5" borderId="17" xfId="0" applyFill="1" applyBorder="1" applyAlignment="1">
      <alignment horizontal="left" vertical="center"/>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0" fillId="0" borderId="15" xfId="0" applyBorder="1" applyAlignment="1">
      <alignment horizontal="center" vertical="center"/>
    </xf>
    <xf numFmtId="0" fontId="6" fillId="2" borderId="2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7" xfId="0" applyFont="1" applyFill="1" applyBorder="1"/>
    <xf numFmtId="0" fontId="0" fillId="0" borderId="17" xfId="0" applyBorder="1" applyAlignment="1">
      <alignment horizontal="left" vertical="center" wrapText="1"/>
    </xf>
    <xf numFmtId="0" fontId="6" fillId="7" borderId="1" xfId="0" applyFont="1" applyFill="1" applyBorder="1" applyAlignment="1">
      <alignment horizontal="center" vertical="center" wrapText="1"/>
    </xf>
    <xf numFmtId="0" fontId="0" fillId="5" borderId="19" xfId="0" applyFill="1" applyBorder="1"/>
    <xf numFmtId="0" fontId="3" fillId="3" borderId="2" xfId="0" applyFont="1" applyFill="1" applyBorder="1"/>
    <xf numFmtId="0" fontId="3" fillId="3" borderId="51" xfId="0" applyFont="1" applyFill="1" applyBorder="1"/>
    <xf numFmtId="0" fontId="3" fillId="3" borderId="2"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46" xfId="0" applyFont="1" applyFill="1" applyBorder="1" applyAlignment="1">
      <alignment horizontal="center" vertical="center" wrapText="1"/>
    </xf>
    <xf numFmtId="4" fontId="0" fillId="5" borderId="15" xfId="0" applyNumberFormat="1" applyFill="1" applyBorder="1"/>
    <xf numFmtId="4" fontId="3" fillId="3" borderId="15" xfId="0" applyNumberFormat="1" applyFont="1" applyFill="1" applyBorder="1"/>
    <xf numFmtId="0" fontId="0" fillId="9" borderId="28" xfId="0" applyFill="1" applyBorder="1" applyAlignment="1" applyProtection="1">
      <alignment horizontal="center" vertical="center"/>
      <protection hidden="1"/>
    </xf>
    <xf numFmtId="0" fontId="0" fillId="10" borderId="15" xfId="0" applyFill="1" applyBorder="1" applyAlignment="1" applyProtection="1">
      <alignment horizontal="center" vertical="center" wrapText="1"/>
      <protection hidden="1"/>
    </xf>
    <xf numFmtId="0" fontId="0" fillId="13" borderId="15" xfId="0" applyFill="1" applyBorder="1" applyAlignment="1" applyProtection="1">
      <alignment horizontal="center" vertical="center"/>
      <protection hidden="1"/>
    </xf>
    <xf numFmtId="0" fontId="10" fillId="13" borderId="15" xfId="0" applyFont="1" applyFill="1" applyBorder="1" applyAlignment="1" applyProtection="1">
      <alignment horizontal="center" vertical="center"/>
      <protection hidden="1"/>
    </xf>
    <xf numFmtId="0" fontId="10" fillId="13" borderId="26" xfId="0" applyFont="1" applyFill="1" applyBorder="1" applyAlignment="1" applyProtection="1">
      <alignment horizontal="center" vertical="center"/>
      <protection hidden="1"/>
    </xf>
    <xf numFmtId="0" fontId="0" fillId="14" borderId="15" xfId="0" applyFill="1" applyBorder="1" applyAlignment="1" applyProtection="1">
      <alignment horizontal="center" vertical="center" wrapText="1"/>
      <protection hidden="1"/>
    </xf>
    <xf numFmtId="44" fontId="0" fillId="15" borderId="15" xfId="0" applyNumberFormat="1" applyFill="1" applyBorder="1" applyAlignment="1" applyProtection="1">
      <alignment horizontal="center" vertical="center" wrapText="1"/>
      <protection hidden="1"/>
    </xf>
    <xf numFmtId="0" fontId="10" fillId="16" borderId="15" xfId="0" applyFont="1" applyFill="1" applyBorder="1" applyAlignment="1" applyProtection="1">
      <alignment horizontal="center" vertical="center" wrapText="1"/>
      <protection hidden="1"/>
    </xf>
    <xf numFmtId="0" fontId="0" fillId="16" borderId="15" xfId="0" applyFill="1" applyBorder="1" applyAlignment="1" applyProtection="1">
      <alignment horizontal="center" vertical="center" wrapText="1"/>
      <protection hidden="1"/>
    </xf>
    <xf numFmtId="0" fontId="0" fillId="0" borderId="15" xfId="0" applyBorder="1" applyProtection="1">
      <protection hidden="1"/>
    </xf>
    <xf numFmtId="0" fontId="0" fillId="0" borderId="30" xfId="0" applyBorder="1" applyProtection="1">
      <protection hidden="1"/>
    </xf>
    <xf numFmtId="0" fontId="0" fillId="0" borderId="28" xfId="0" applyBorder="1" applyProtection="1">
      <protection hidden="1"/>
    </xf>
    <xf numFmtId="44" fontId="0" fillId="0" borderId="15" xfId="2" applyFont="1" applyBorder="1" applyProtection="1">
      <protection hidden="1"/>
    </xf>
    <xf numFmtId="44" fontId="0" fillId="0" borderId="15" xfId="2" applyFont="1" applyBorder="1" applyProtection="1">
      <protection locked="0"/>
    </xf>
    <xf numFmtId="166" fontId="0" fillId="0" borderId="15" xfId="0" applyNumberFormat="1" applyBorder="1"/>
    <xf numFmtId="0" fontId="12" fillId="17" borderId="15" xfId="5" applyFont="1" applyFill="1" applyBorder="1" applyAlignment="1">
      <alignment horizontal="center"/>
    </xf>
    <xf numFmtId="49" fontId="0" fillId="0" borderId="15" xfId="0" applyNumberFormat="1" applyBorder="1"/>
    <xf numFmtId="0" fontId="12" fillId="17" borderId="26" xfId="5" applyFont="1" applyFill="1" applyBorder="1" applyAlignment="1">
      <alignment horizontal="center"/>
    </xf>
    <xf numFmtId="0" fontId="8" fillId="0" borderId="15" xfId="5" applyBorder="1"/>
    <xf numFmtId="3" fontId="0" fillId="0" borderId="28" xfId="0" applyNumberFormat="1" applyBorder="1" applyProtection="1">
      <protection hidden="1"/>
    </xf>
    <xf numFmtId="2" fontId="0" fillId="0" borderId="15" xfId="0" applyNumberFormat="1" applyBorder="1"/>
    <xf numFmtId="164" fontId="7" fillId="2" borderId="13" xfId="1" applyNumberFormat="1" applyFont="1" applyFill="1" applyBorder="1" applyAlignment="1">
      <alignment horizontal="center" vertical="center" wrapText="1"/>
    </xf>
    <xf numFmtId="164" fontId="3" fillId="3" borderId="1" xfId="1" applyNumberFormat="1" applyFont="1" applyFill="1" applyBorder="1" applyAlignment="1"/>
    <xf numFmtId="3" fontId="0" fillId="5" borderId="24" xfId="0" applyNumberFormat="1" applyFill="1" applyBorder="1"/>
    <xf numFmtId="164" fontId="3" fillId="3" borderId="24" xfId="1" applyNumberFormat="1" applyFont="1" applyFill="1" applyBorder="1" applyAlignment="1"/>
    <xf numFmtId="0" fontId="0" fillId="5" borderId="24" xfId="0" applyFill="1" applyBorder="1"/>
    <xf numFmtId="164" fontId="3" fillId="3" borderId="41" xfId="1" applyNumberFormat="1" applyFont="1" applyFill="1" applyBorder="1" applyAlignment="1"/>
    <xf numFmtId="9" fontId="3" fillId="3" borderId="30" xfId="3" applyFont="1" applyFill="1" applyBorder="1"/>
    <xf numFmtId="0" fontId="0" fillId="2" borderId="30" xfId="0" applyFill="1" applyBorder="1" applyAlignment="1">
      <alignment vertical="center" wrapText="1"/>
    </xf>
    <xf numFmtId="0" fontId="3" fillId="3" borderId="30" xfId="0" applyFont="1" applyFill="1" applyBorder="1"/>
    <xf numFmtId="3" fontId="0" fillId="5" borderId="17" xfId="0" applyNumberFormat="1" applyFill="1" applyBorder="1"/>
    <xf numFmtId="3" fontId="3" fillId="3" borderId="17" xfId="0" applyNumberFormat="1" applyFont="1" applyFill="1" applyBorder="1"/>
    <xf numFmtId="0" fontId="0" fillId="0" borderId="17" xfId="0" applyBorder="1" applyAlignment="1">
      <alignment vertical="center"/>
    </xf>
    <xf numFmtId="0" fontId="3" fillId="3" borderId="36" xfId="0" applyFont="1" applyFill="1" applyBorder="1"/>
    <xf numFmtId="9" fontId="1" fillId="5" borderId="16" xfId="3" applyFont="1" applyFill="1" applyBorder="1"/>
    <xf numFmtId="42" fontId="0" fillId="0" borderId="17" xfId="2" applyNumberFormat="1" applyFont="1" applyBorder="1" applyAlignment="1">
      <alignment vertical="center"/>
    </xf>
    <xf numFmtId="42" fontId="3" fillId="3" borderId="17" xfId="2" applyNumberFormat="1" applyFont="1" applyFill="1" applyBorder="1"/>
    <xf numFmtId="9" fontId="3" fillId="3" borderId="16" xfId="3" applyFont="1" applyFill="1" applyBorder="1"/>
    <xf numFmtId="42" fontId="0" fillId="0" borderId="17" xfId="0" applyNumberFormat="1" applyBorder="1" applyAlignment="1">
      <alignment vertical="center"/>
    </xf>
    <xf numFmtId="42" fontId="0" fillId="0" borderId="17" xfId="2" applyNumberFormat="1" applyFont="1" applyBorder="1"/>
    <xf numFmtId="42" fontId="0" fillId="5" borderId="17" xfId="2" applyNumberFormat="1" applyFont="1" applyFill="1" applyBorder="1"/>
    <xf numFmtId="3" fontId="0" fillId="0" borderId="28" xfId="0" applyNumberFormat="1" applyBorder="1" applyAlignment="1">
      <alignment vertical="center"/>
    </xf>
    <xf numFmtId="3" fontId="3" fillId="3" borderId="28" xfId="0" applyNumberFormat="1" applyFont="1" applyFill="1" applyBorder="1"/>
    <xf numFmtId="0" fontId="0" fillId="2" borderId="28" xfId="0" applyFill="1" applyBorder="1" applyAlignment="1">
      <alignment vertical="center" wrapText="1"/>
    </xf>
    <xf numFmtId="0" fontId="0" fillId="0" borderId="28" xfId="0" applyBorder="1" applyAlignment="1">
      <alignment vertical="center"/>
    </xf>
    <xf numFmtId="0" fontId="0" fillId="5" borderId="28" xfId="0" applyFill="1" applyBorder="1"/>
    <xf numFmtId="0" fontId="0" fillId="0" borderId="16" xfId="0" applyBorder="1" applyAlignment="1">
      <alignment horizontal="left" vertical="center" wrapText="1"/>
    </xf>
    <xf numFmtId="0" fontId="0" fillId="5" borderId="16" xfId="0" applyFill="1" applyBorder="1" applyAlignment="1">
      <alignment horizontal="left" vertical="center" wrapText="1"/>
    </xf>
    <xf numFmtId="0" fontId="0" fillId="0" borderId="16" xfId="0" applyBorder="1"/>
    <xf numFmtId="0" fontId="0" fillId="5" borderId="16" xfId="0" applyFill="1" applyBorder="1"/>
    <xf numFmtId="164" fontId="3" fillId="6" borderId="28" xfId="1" applyNumberFormat="1" applyFont="1" applyFill="1" applyBorder="1" applyAlignment="1"/>
    <xf numFmtId="164" fontId="3" fillId="6" borderId="15" xfId="1" applyNumberFormat="1" applyFont="1" applyFill="1" applyBorder="1" applyAlignment="1"/>
    <xf numFmtId="164" fontId="3" fillId="6" borderId="30" xfId="1" applyNumberFormat="1" applyFont="1" applyFill="1" applyBorder="1" applyAlignment="1"/>
    <xf numFmtId="164" fontId="3" fillId="3" borderId="17" xfId="1" applyNumberFormat="1" applyFont="1" applyFill="1" applyBorder="1" applyAlignment="1"/>
    <xf numFmtId="164" fontId="3" fillId="6" borderId="17" xfId="1" applyNumberFormat="1" applyFont="1" applyFill="1" applyBorder="1" applyAlignment="1"/>
    <xf numFmtId="43" fontId="3" fillId="6" borderId="15" xfId="1" applyFont="1" applyFill="1" applyBorder="1" applyAlignment="1"/>
    <xf numFmtId="164" fontId="3" fillId="6" borderId="24" xfId="1" applyNumberFormat="1" applyFont="1" applyFill="1" applyBorder="1" applyAlignment="1"/>
    <xf numFmtId="0" fontId="0" fillId="5" borderId="5" xfId="0" applyFill="1" applyBorder="1"/>
    <xf numFmtId="0" fontId="0" fillId="5" borderId="6" xfId="0" applyFill="1" applyBorder="1"/>
    <xf numFmtId="3" fontId="0" fillId="5" borderId="37" xfId="0" applyNumberFormat="1" applyFill="1" applyBorder="1"/>
    <xf numFmtId="3" fontId="0" fillId="5" borderId="7" xfId="0" applyNumberFormat="1" applyFill="1" applyBorder="1"/>
    <xf numFmtId="42" fontId="1" fillId="5" borderId="5" xfId="2" applyNumberFormat="1" applyFont="1" applyFill="1" applyBorder="1"/>
    <xf numFmtId="42" fontId="1" fillId="5" borderId="7" xfId="2" applyNumberFormat="1" applyFont="1" applyFill="1" applyBorder="1"/>
    <xf numFmtId="42" fontId="0" fillId="5" borderId="7" xfId="0" applyNumberFormat="1" applyFill="1" applyBorder="1"/>
    <xf numFmtId="3" fontId="0" fillId="5" borderId="5" xfId="0" applyNumberFormat="1" applyFill="1" applyBorder="1"/>
    <xf numFmtId="9" fontId="0" fillId="5" borderId="7" xfId="3" applyFont="1" applyFill="1" applyBorder="1"/>
    <xf numFmtId="4" fontId="0" fillId="5" borderId="7" xfId="0" applyNumberFormat="1" applyFill="1" applyBorder="1"/>
    <xf numFmtId="3" fontId="0" fillId="5" borderId="8" xfId="0" applyNumberFormat="1" applyFill="1" applyBorder="1"/>
    <xf numFmtId="0" fontId="3" fillId="3" borderId="34" xfId="0" applyFont="1" applyFill="1" applyBorder="1"/>
    <xf numFmtId="3" fontId="3" fillId="3" borderId="52" xfId="0" applyNumberFormat="1" applyFont="1" applyFill="1" applyBorder="1"/>
    <xf numFmtId="3" fontId="3" fillId="3" borderId="33" xfId="0" applyNumberFormat="1" applyFont="1" applyFill="1" applyBorder="1"/>
    <xf numFmtId="9" fontId="3" fillId="3" borderId="39" xfId="3" applyFont="1" applyFill="1" applyBorder="1"/>
    <xf numFmtId="42" fontId="3" fillId="3" borderId="31" xfId="0" applyNumberFormat="1" applyFont="1" applyFill="1" applyBorder="1"/>
    <xf numFmtId="42" fontId="3" fillId="3" borderId="33" xfId="0" applyNumberFormat="1" applyFont="1" applyFill="1" applyBorder="1"/>
    <xf numFmtId="9" fontId="3" fillId="3" borderId="34" xfId="3" applyFont="1" applyFill="1" applyBorder="1"/>
    <xf numFmtId="3" fontId="3" fillId="3" borderId="31" xfId="0" applyNumberFormat="1" applyFont="1" applyFill="1" applyBorder="1"/>
    <xf numFmtId="9" fontId="3" fillId="4" borderId="33" xfId="3" applyFont="1" applyFill="1" applyBorder="1"/>
    <xf numFmtId="4" fontId="3" fillId="3" borderId="33" xfId="1" applyNumberFormat="1" applyFont="1" applyFill="1" applyBorder="1" applyAlignment="1"/>
    <xf numFmtId="3" fontId="3" fillId="3" borderId="33" xfId="1" applyNumberFormat="1" applyFont="1" applyFill="1" applyBorder="1" applyAlignment="1"/>
    <xf numFmtId="0" fontId="7" fillId="2" borderId="25" xfId="0" applyFont="1" applyFill="1" applyBorder="1" applyAlignment="1">
      <alignment horizontal="center" vertical="center" wrapText="1"/>
    </xf>
    <xf numFmtId="164" fontId="7" fillId="2" borderId="26" xfId="1" applyNumberFormat="1" applyFont="1" applyFill="1" applyBorder="1" applyAlignment="1">
      <alignment horizontal="center" vertical="center" wrapText="1"/>
    </xf>
    <xf numFmtId="164" fontId="7" fillId="2" borderId="27"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15" xfId="0" applyBorder="1" applyAlignment="1">
      <alignment wrapText="1"/>
    </xf>
    <xf numFmtId="164" fontId="0" fillId="0" borderId="15" xfId="1" applyNumberFormat="1" applyFont="1" applyBorder="1"/>
    <xf numFmtId="9" fontId="0" fillId="0" borderId="15" xfId="3" applyFont="1" applyBorder="1"/>
    <xf numFmtId="0" fontId="0" fillId="8" borderId="15" xfId="0" applyFill="1" applyBorder="1" applyAlignment="1">
      <alignment wrapText="1"/>
    </xf>
    <xf numFmtId="164" fontId="0" fillId="8" borderId="15" xfId="1" applyNumberFormat="1" applyFont="1" applyFill="1" applyBorder="1"/>
    <xf numFmtId="9" fontId="0" fillId="8" borderId="15" xfId="3" applyFont="1" applyFill="1" applyBorder="1"/>
    <xf numFmtId="165" fontId="0" fillId="0" borderId="15" xfId="2" applyNumberFormat="1" applyFont="1" applyBorder="1"/>
    <xf numFmtId="165" fontId="0" fillId="8" borderId="15" xfId="2" applyNumberFormat="1" applyFont="1" applyFill="1" applyBorder="1"/>
    <xf numFmtId="0" fontId="7" fillId="2" borderId="53"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0" borderId="36" xfId="0" applyFont="1" applyBorder="1" applyAlignment="1">
      <alignment horizontal="center" wrapText="1"/>
    </xf>
    <xf numFmtId="0" fontId="0" fillId="18" borderId="35" xfId="0" applyFill="1" applyBorder="1"/>
    <xf numFmtId="0" fontId="0" fillId="0" borderId="44" xfId="0" applyBorder="1"/>
    <xf numFmtId="0" fontId="0" fillId="0" borderId="35" xfId="0" applyBorder="1"/>
    <xf numFmtId="0" fontId="3" fillId="0" borderId="24" xfId="0" applyFont="1" applyBorder="1"/>
    <xf numFmtId="0" fontId="0" fillId="0" borderId="55" xfId="0" applyBorder="1"/>
    <xf numFmtId="0" fontId="3" fillId="0" borderId="35" xfId="0" applyFont="1" applyBorder="1"/>
    <xf numFmtId="0" fontId="3" fillId="0" borderId="46" xfId="0" applyFont="1" applyBorder="1"/>
    <xf numFmtId="0" fontId="7" fillId="2" borderId="6" xfId="0" applyFont="1" applyFill="1" applyBorder="1" applyAlignment="1">
      <alignment horizontal="center" vertical="center" wrapText="1"/>
    </xf>
    <xf numFmtId="0" fontId="15" fillId="7" borderId="17"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164" fontId="7" fillId="0" borderId="0" xfId="1" applyNumberFormat="1" applyFont="1" applyFill="1" applyBorder="1" applyAlignment="1">
      <alignment horizontal="center" vertical="center" wrapText="1"/>
    </xf>
    <xf numFmtId="3" fontId="0" fillId="0" borderId="0" xfId="0" applyNumberFormat="1"/>
    <xf numFmtId="10" fontId="0" fillId="0" borderId="0" xfId="0" applyNumberFormat="1"/>
    <xf numFmtId="0" fontId="0" fillId="0" borderId="0" xfId="0" applyAlignment="1">
      <alignment wrapText="1"/>
    </xf>
    <xf numFmtId="0" fontId="0" fillId="0" borderId="57" xfId="0" applyBorder="1" applyAlignment="1">
      <alignment wrapText="1"/>
    </xf>
    <xf numFmtId="0" fontId="0" fillId="0" borderId="28" xfId="0" applyBorder="1" applyAlignment="1">
      <alignment wrapText="1"/>
    </xf>
    <xf numFmtId="164" fontId="0" fillId="0" borderId="28" xfId="1" applyNumberFormat="1" applyFont="1" applyBorder="1" applyAlignment="1">
      <alignment wrapText="1"/>
    </xf>
    <xf numFmtId="9" fontId="0" fillId="0" borderId="15" xfId="3" applyFont="1" applyBorder="1" applyAlignment="1">
      <alignment wrapText="1"/>
    </xf>
    <xf numFmtId="0" fontId="0" fillId="19" borderId="15" xfId="0" applyFill="1" applyBorder="1" applyAlignment="1">
      <alignment wrapText="1"/>
    </xf>
    <xf numFmtId="9" fontId="0" fillId="19" borderId="15" xfId="3" applyFont="1" applyFill="1" applyBorder="1" applyAlignment="1">
      <alignment wrapText="1"/>
    </xf>
    <xf numFmtId="0" fontId="16" fillId="0" borderId="0" xfId="0" applyFont="1"/>
    <xf numFmtId="164" fontId="0" fillId="0" borderId="0" xfId="0" applyNumberFormat="1"/>
    <xf numFmtId="164" fontId="1" fillId="0" borderId="0" xfId="1" applyNumberFormat="1" applyFont="1" applyFill="1" applyBorder="1"/>
    <xf numFmtId="164" fontId="7" fillId="2" borderId="15" xfId="1" applyNumberFormat="1" applyFont="1" applyFill="1" applyBorder="1" applyAlignment="1">
      <alignment horizontal="center" vertical="center" wrapText="1"/>
    </xf>
    <xf numFmtId="0" fontId="0" fillId="0" borderId="30" xfId="0" applyBorder="1" applyAlignment="1">
      <alignment wrapText="1"/>
    </xf>
    <xf numFmtId="0" fontId="0" fillId="5" borderId="30" xfId="0" applyFill="1" applyBorder="1" applyAlignment="1">
      <alignment wrapText="1"/>
    </xf>
    <xf numFmtId="164" fontId="0" fillId="5" borderId="15" xfId="1" applyNumberFormat="1" applyFont="1" applyFill="1" applyBorder="1"/>
    <xf numFmtId="0" fontId="0" fillId="8" borderId="30" xfId="0" applyFill="1" applyBorder="1" applyAlignment="1">
      <alignment wrapText="1"/>
    </xf>
    <xf numFmtId="164" fontId="1" fillId="8" borderId="15" xfId="1" applyNumberFormat="1" applyFont="1" applyFill="1" applyBorder="1"/>
    <xf numFmtId="9" fontId="1" fillId="8" borderId="15" xfId="3" applyFont="1" applyFill="1" applyBorder="1"/>
    <xf numFmtId="9" fontId="1" fillId="0" borderId="0" xfId="3" applyFont="1" applyFill="1" applyBorder="1"/>
    <xf numFmtId="0" fontId="3" fillId="0" borderId="0" xfId="0" applyFont="1"/>
    <xf numFmtId="0" fontId="18" fillId="5" borderId="0" xfId="6" applyFont="1" applyFill="1"/>
    <xf numFmtId="0" fontId="17" fillId="5" borderId="0" xfId="6" applyFill="1"/>
    <xf numFmtId="0" fontId="17" fillId="5" borderId="0" xfId="6" applyFill="1" applyAlignment="1">
      <alignment horizontal="center"/>
    </xf>
    <xf numFmtId="0" fontId="17" fillId="0" borderId="0" xfId="6"/>
    <xf numFmtId="0" fontId="19" fillId="5" borderId="0" xfId="6" applyFont="1" applyFill="1"/>
    <xf numFmtId="0" fontId="19" fillId="5" borderId="0" xfId="6" applyFont="1" applyFill="1" applyAlignment="1">
      <alignment horizontal="center"/>
    </xf>
    <xf numFmtId="0" fontId="17" fillId="5" borderId="0" xfId="6" applyFill="1" applyAlignment="1">
      <alignment horizontal="center" vertical="center" wrapText="1"/>
    </xf>
    <xf numFmtId="0" fontId="21" fillId="20" borderId="59" xfId="6" applyFont="1" applyFill="1" applyBorder="1" applyAlignment="1">
      <alignment horizontal="center" vertical="center" wrapText="1"/>
    </xf>
    <xf numFmtId="0" fontId="21" fillId="20" borderId="60" xfId="6" applyFont="1" applyFill="1" applyBorder="1" applyAlignment="1">
      <alignment horizontal="center" vertical="center" wrapText="1"/>
    </xf>
    <xf numFmtId="0" fontId="21" fillId="20" borderId="61" xfId="6" applyFont="1" applyFill="1" applyBorder="1" applyAlignment="1">
      <alignment horizontal="center" vertical="center" wrapText="1"/>
    </xf>
    <xf numFmtId="0" fontId="21" fillId="4" borderId="62" xfId="0" applyFont="1" applyFill="1" applyBorder="1" applyAlignment="1">
      <alignment horizontal="center" vertical="center" wrapText="1"/>
    </xf>
    <xf numFmtId="0" fontId="21" fillId="4" borderId="63" xfId="0" applyFont="1" applyFill="1" applyBorder="1" applyAlignment="1">
      <alignment horizontal="center" vertical="center" wrapText="1"/>
    </xf>
    <xf numFmtId="0" fontId="22" fillId="20" borderId="60" xfId="6" applyFont="1" applyFill="1" applyBorder="1" applyAlignment="1">
      <alignment horizontal="center" vertical="center" wrapText="1"/>
    </xf>
    <xf numFmtId="0" fontId="22" fillId="20" borderId="64" xfId="6" applyFont="1" applyFill="1" applyBorder="1" applyAlignment="1">
      <alignment horizontal="center" vertical="center" wrapText="1"/>
    </xf>
    <xf numFmtId="0" fontId="17" fillId="0" borderId="0" xfId="6" applyAlignment="1">
      <alignment horizontal="center" vertical="center" wrapText="1"/>
    </xf>
    <xf numFmtId="0" fontId="21" fillId="20" borderId="65" xfId="6" applyFont="1" applyFill="1" applyBorder="1" applyAlignment="1">
      <alignment horizontal="center" vertical="center" wrapText="1"/>
    </xf>
    <xf numFmtId="0" fontId="21" fillId="20" borderId="66" xfId="6" applyFont="1" applyFill="1" applyBorder="1" applyAlignment="1">
      <alignment horizontal="center" vertical="center" wrapText="1"/>
    </xf>
    <xf numFmtId="0" fontId="22" fillId="20" borderId="66" xfId="6" applyFont="1" applyFill="1" applyBorder="1" applyAlignment="1">
      <alignment horizontal="center" vertical="center" wrapText="1"/>
    </xf>
    <xf numFmtId="0" fontId="22" fillId="20" borderId="66" xfId="6" quotePrefix="1" applyFont="1" applyFill="1" applyBorder="1" applyAlignment="1">
      <alignment horizontal="center" vertical="center" wrapText="1"/>
    </xf>
    <xf numFmtId="0" fontId="22" fillId="20" borderId="64" xfId="6" quotePrefix="1" applyFont="1" applyFill="1" applyBorder="1" applyAlignment="1">
      <alignment horizontal="center" vertical="center" wrapText="1"/>
    </xf>
    <xf numFmtId="0" fontId="21" fillId="5" borderId="65" xfId="6" applyFont="1" applyFill="1" applyBorder="1" applyAlignment="1">
      <alignment horizontal="center" vertical="center" wrapText="1"/>
    </xf>
    <xf numFmtId="0" fontId="21" fillId="5" borderId="66" xfId="6" applyFont="1" applyFill="1" applyBorder="1" applyAlignment="1">
      <alignment horizontal="center" vertical="center" wrapText="1"/>
    </xf>
    <xf numFmtId="0" fontId="21" fillId="5" borderId="66" xfId="6" quotePrefix="1" applyFont="1" applyFill="1" applyBorder="1" applyAlignment="1">
      <alignment horizontal="center" vertical="center" wrapText="1"/>
    </xf>
    <xf numFmtId="0" fontId="22" fillId="5" borderId="66" xfId="6" quotePrefix="1" applyFont="1" applyFill="1" applyBorder="1" applyAlignment="1">
      <alignment horizontal="center" vertical="center" wrapText="1"/>
    </xf>
    <xf numFmtId="0" fontId="22" fillId="5" borderId="64" xfId="6" applyFont="1" applyFill="1" applyBorder="1" applyAlignment="1">
      <alignment horizontal="center" vertical="center" wrapText="1"/>
    </xf>
    <xf numFmtId="0" fontId="21" fillId="0" borderId="65" xfId="6" applyFont="1" applyBorder="1" applyAlignment="1">
      <alignment horizontal="center"/>
    </xf>
    <xf numFmtId="0" fontId="21" fillId="0" borderId="66" xfId="6" applyFont="1" applyBorder="1" applyAlignment="1">
      <alignment horizontal="center"/>
    </xf>
    <xf numFmtId="164" fontId="21" fillId="0" borderId="66" xfId="1" applyNumberFormat="1" applyFont="1" applyBorder="1" applyAlignment="1">
      <alignment horizontal="right"/>
    </xf>
    <xf numFmtId="10" fontId="22" fillId="0" borderId="66" xfId="3" applyNumberFormat="1" applyFont="1" applyBorder="1" applyAlignment="1">
      <alignment horizontal="right"/>
    </xf>
    <xf numFmtId="3" fontId="22" fillId="0" borderId="67" xfId="6" applyNumberFormat="1" applyFont="1" applyBorder="1" applyAlignment="1">
      <alignment horizontal="center"/>
    </xf>
    <xf numFmtId="43" fontId="17" fillId="0" borderId="0" xfId="1" applyFont="1"/>
    <xf numFmtId="0" fontId="21" fillId="0" borderId="65" xfId="6" applyFont="1" applyBorder="1" applyAlignment="1">
      <alignment horizontal="right"/>
    </xf>
    <xf numFmtId="0" fontId="21" fillId="0" borderId="68" xfId="6" applyFont="1" applyBorder="1" applyAlignment="1">
      <alignment horizontal="center"/>
    </xf>
    <xf numFmtId="0" fontId="21" fillId="0" borderId="69" xfId="6" applyFont="1" applyBorder="1" applyAlignment="1">
      <alignment horizontal="center"/>
    </xf>
    <xf numFmtId="164" fontId="21" fillId="0" borderId="69" xfId="1" applyNumberFormat="1" applyFont="1" applyBorder="1" applyAlignment="1">
      <alignment horizontal="right"/>
    </xf>
    <xf numFmtId="10" fontId="21" fillId="0" borderId="69" xfId="1" applyNumberFormat="1" applyFont="1" applyBorder="1" applyAlignment="1">
      <alignment horizontal="right"/>
    </xf>
    <xf numFmtId="43" fontId="21" fillId="0" borderId="69" xfId="1" applyFont="1" applyBorder="1" applyAlignment="1">
      <alignment horizontal="right"/>
    </xf>
    <xf numFmtId="10" fontId="22" fillId="0" borderId="69" xfId="1" applyNumberFormat="1" applyFont="1" applyBorder="1" applyAlignment="1">
      <alignment horizontal="right"/>
    </xf>
    <xf numFmtId="43" fontId="22" fillId="0" borderId="70" xfId="1" applyFont="1" applyBorder="1" applyAlignment="1">
      <alignment horizontal="center"/>
    </xf>
    <xf numFmtId="0" fontId="21" fillId="5" borderId="0" xfId="6" applyFont="1" applyFill="1" applyAlignment="1">
      <alignment horizontal="right"/>
    </xf>
    <xf numFmtId="0" fontId="21" fillId="5" borderId="0" xfId="6" applyFont="1" applyFill="1" applyAlignment="1">
      <alignment horizontal="center"/>
    </xf>
    <xf numFmtId="164" fontId="23" fillId="5" borderId="0" xfId="1" applyNumberFormat="1" applyFont="1" applyFill="1" applyBorder="1" applyAlignment="1">
      <alignment horizontal="center" vertical="center"/>
    </xf>
    <xf numFmtId="164" fontId="23" fillId="5" borderId="0" xfId="1" applyNumberFormat="1" applyFont="1" applyFill="1" applyBorder="1" applyAlignment="1">
      <alignment horizontal="center" vertical="center" wrapText="1"/>
    </xf>
    <xf numFmtId="164" fontId="23" fillId="5" borderId="0" xfId="1" applyNumberFormat="1" applyFont="1" applyFill="1" applyBorder="1" applyAlignment="1">
      <alignment horizontal="right"/>
    </xf>
    <xf numFmtId="3" fontId="22" fillId="5" borderId="0" xfId="6" applyNumberFormat="1" applyFont="1" applyFill="1" applyAlignment="1">
      <alignment horizontal="center"/>
    </xf>
    <xf numFmtId="0" fontId="22" fillId="5" borderId="0" xfId="6" applyFont="1" applyFill="1"/>
    <xf numFmtId="0" fontId="10" fillId="5" borderId="0" xfId="6" applyFont="1" applyFill="1" applyAlignment="1">
      <alignment horizontal="center"/>
    </xf>
    <xf numFmtId="0" fontId="10" fillId="5" borderId="0" xfId="6" applyFont="1" applyFill="1"/>
    <xf numFmtId="0" fontId="24" fillId="5" borderId="0" xfId="0" applyFont="1" applyFill="1" applyAlignment="1">
      <alignment horizontal="left" vertical="center" readingOrder="1"/>
    </xf>
    <xf numFmtId="0" fontId="26" fillId="0" borderId="0" xfId="7" applyFont="1"/>
    <xf numFmtId="0" fontId="25" fillId="0" borderId="0" xfId="7"/>
    <xf numFmtId="0" fontId="25" fillId="0" borderId="0" xfId="7" applyAlignment="1">
      <alignment vertical="top"/>
    </xf>
    <xf numFmtId="0" fontId="29" fillId="0" borderId="0" xfId="0" applyFont="1"/>
    <xf numFmtId="164" fontId="0" fillId="0" borderId="15"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31" fillId="0" borderId="0" xfId="7" applyFont="1" applyAlignment="1">
      <alignment vertical="center"/>
    </xf>
    <xf numFmtId="0" fontId="31" fillId="0" borderId="20" xfId="7" applyFont="1" applyBorder="1" applyAlignment="1">
      <alignment vertical="center"/>
    </xf>
    <xf numFmtId="0" fontId="31" fillId="0" borderId="20" xfId="7" applyFont="1" applyBorder="1" applyAlignment="1">
      <alignment horizontal="center" vertical="center"/>
    </xf>
    <xf numFmtId="0" fontId="31" fillId="0" borderId="0" xfId="7" applyFont="1" applyAlignment="1">
      <alignment horizontal="center" vertical="center"/>
    </xf>
    <xf numFmtId="0" fontId="25" fillId="0" borderId="15" xfId="7" applyBorder="1"/>
    <xf numFmtId="0" fontId="0" fillId="0" borderId="45" xfId="0" applyBorder="1"/>
    <xf numFmtId="0" fontId="0" fillId="0" borderId="1" xfId="0" applyBorder="1"/>
    <xf numFmtId="0" fontId="3" fillId="18" borderId="44" xfId="0" applyFont="1" applyFill="1" applyBorder="1"/>
    <xf numFmtId="0" fontId="0" fillId="0" borderId="42" xfId="0" applyBorder="1"/>
    <xf numFmtId="0" fontId="19" fillId="0" borderId="0" xfId="6" applyFont="1"/>
    <xf numFmtId="44" fontId="0" fillId="0" borderId="15" xfId="2" applyFont="1" applyFill="1" applyBorder="1" applyProtection="1">
      <protection hidden="1"/>
    </xf>
    <xf numFmtId="0" fontId="3" fillId="0" borderId="28" xfId="0" applyFont="1" applyBorder="1" applyProtection="1">
      <protection hidden="1"/>
    </xf>
    <xf numFmtId="3" fontId="0" fillId="0" borderId="12" xfId="0" applyNumberFormat="1" applyBorder="1" applyAlignment="1">
      <alignment horizontal="center" vertical="center"/>
    </xf>
    <xf numFmtId="9" fontId="0" fillId="0" borderId="10" xfId="0" applyNumberFormat="1" applyBorder="1" applyAlignment="1">
      <alignment horizontal="center" vertical="center"/>
    </xf>
    <xf numFmtId="3" fontId="0" fillId="0" borderId="9" xfId="0" applyNumberFormat="1" applyBorder="1" applyAlignment="1">
      <alignment horizontal="center" vertical="center"/>
    </xf>
    <xf numFmtId="3" fontId="0" fillId="0" borderId="15" xfId="0" applyNumberFormat="1" applyBorder="1" applyAlignment="1">
      <alignment wrapText="1"/>
    </xf>
    <xf numFmtId="3" fontId="0" fillId="0" borderId="28" xfId="0" applyNumberFormat="1" applyBorder="1" applyAlignment="1">
      <alignment wrapText="1"/>
    </xf>
    <xf numFmtId="3" fontId="0" fillId="0" borderId="28" xfId="1" applyNumberFormat="1" applyFont="1" applyBorder="1" applyAlignment="1">
      <alignment wrapText="1"/>
    </xf>
    <xf numFmtId="10" fontId="10" fillId="0" borderId="12" xfId="0" applyNumberFormat="1" applyFont="1" applyBorder="1" applyAlignment="1">
      <alignment horizontal="center" vertical="center"/>
    </xf>
    <xf numFmtId="39" fontId="0" fillId="0" borderId="28" xfId="1" applyNumberFormat="1" applyFont="1" applyBorder="1" applyAlignment="1">
      <alignment wrapText="1"/>
    </xf>
    <xf numFmtId="2" fontId="0" fillId="0" borderId="28" xfId="0" applyNumberFormat="1" applyBorder="1" applyAlignment="1">
      <alignment wrapText="1"/>
    </xf>
    <xf numFmtId="2" fontId="0" fillId="0" borderId="28" xfId="1" applyNumberFormat="1" applyFont="1" applyBorder="1" applyAlignment="1">
      <alignment wrapText="1"/>
    </xf>
    <xf numFmtId="37" fontId="0" fillId="0" borderId="28" xfId="1" applyNumberFormat="1" applyFont="1" applyBorder="1" applyAlignment="1">
      <alignment wrapText="1"/>
    </xf>
    <xf numFmtId="9" fontId="0" fillId="8" borderId="15" xfId="1" applyNumberFormat="1" applyFont="1" applyFill="1" applyBorder="1"/>
    <xf numFmtId="9" fontId="0" fillId="0" borderId="15" xfId="3" applyFont="1" applyBorder="1" applyAlignment="1">
      <alignment horizontal="center" vertical="center"/>
    </xf>
    <xf numFmtId="9" fontId="0" fillId="8" borderId="15" xfId="3" applyFont="1" applyFill="1" applyBorder="1" applyAlignment="1">
      <alignment horizontal="center" vertical="center"/>
    </xf>
    <xf numFmtId="0" fontId="0" fillId="0" borderId="73" xfId="0" applyBorder="1" applyAlignment="1">
      <alignment wrapText="1"/>
    </xf>
    <xf numFmtId="0" fontId="3" fillId="0" borderId="73" xfId="0" applyFont="1" applyBorder="1" applyAlignment="1">
      <alignment horizontal="right" wrapText="1"/>
    </xf>
    <xf numFmtId="0" fontId="0" fillId="0" borderId="74" xfId="0" applyBorder="1" applyAlignment="1">
      <alignment wrapText="1"/>
    </xf>
    <xf numFmtId="165" fontId="0" fillId="0" borderId="15" xfId="2" applyNumberFormat="1" applyFont="1" applyFill="1" applyBorder="1"/>
    <xf numFmtId="9" fontId="1" fillId="5" borderId="49" xfId="3" applyFont="1" applyFill="1" applyBorder="1"/>
    <xf numFmtId="9" fontId="1" fillId="5" borderId="27" xfId="3" applyFont="1" applyFill="1" applyBorder="1"/>
    <xf numFmtId="9" fontId="1" fillId="5" borderId="47" xfId="3" applyFont="1" applyFill="1" applyBorder="1"/>
    <xf numFmtId="0" fontId="7" fillId="2" borderId="75" xfId="0" applyFont="1" applyFill="1" applyBorder="1" applyAlignment="1">
      <alignment horizontal="center" vertical="center" wrapText="1"/>
    </xf>
    <xf numFmtId="164" fontId="7" fillId="2" borderId="76" xfId="1" applyNumberFormat="1" applyFont="1" applyFill="1" applyBorder="1" applyAlignment="1">
      <alignment horizontal="center" vertical="center" wrapText="1"/>
    </xf>
    <xf numFmtId="3" fontId="0" fillId="0" borderId="15" xfId="0" applyNumberFormat="1" applyBorder="1"/>
    <xf numFmtId="3" fontId="3" fillId="3" borderId="16" xfId="0" applyNumberFormat="1" applyFont="1" applyFill="1" applyBorder="1"/>
    <xf numFmtId="0" fontId="0" fillId="5" borderId="26" xfId="0" applyFill="1" applyBorder="1"/>
    <xf numFmtId="0" fontId="0" fillId="5" borderId="77" xfId="0" applyFill="1" applyBorder="1"/>
    <xf numFmtId="3" fontId="3" fillId="3" borderId="10" xfId="1" applyNumberFormat="1" applyFont="1" applyFill="1" applyBorder="1" applyAlignment="1"/>
    <xf numFmtId="4" fontId="0" fillId="0" borderId="28" xfId="0" applyNumberFormat="1" applyBorder="1" applyAlignment="1">
      <alignment wrapText="1"/>
    </xf>
    <xf numFmtId="43" fontId="0" fillId="0" borderId="28" xfId="1" applyFont="1" applyBorder="1" applyAlignment="1">
      <alignment wrapText="1"/>
    </xf>
    <xf numFmtId="3" fontId="25" fillId="0" borderId="15" xfId="7" applyNumberFormat="1" applyBorder="1"/>
    <xf numFmtId="0" fontId="33" fillId="0" borderId="0" xfId="7" applyFont="1" applyAlignment="1">
      <alignment wrapText="1"/>
    </xf>
    <xf numFmtId="0" fontId="35" fillId="21" borderId="79" xfId="0" applyFont="1" applyFill="1" applyBorder="1" applyAlignment="1">
      <alignment horizontal="center" vertical="center" wrapText="1"/>
    </xf>
    <xf numFmtId="0" fontId="36" fillId="5" borderId="80" xfId="0" applyFont="1" applyFill="1" applyBorder="1" applyAlignment="1">
      <alignment vertical="center" wrapText="1"/>
    </xf>
    <xf numFmtId="0" fontId="37" fillId="5" borderId="81" xfId="0" applyFont="1" applyFill="1" applyBorder="1" applyAlignment="1">
      <alignment vertical="center" wrapText="1"/>
    </xf>
    <xf numFmtId="0" fontId="38" fillId="5" borderId="81" xfId="0" applyFont="1" applyFill="1" applyBorder="1" applyAlignment="1">
      <alignment vertical="center" wrapText="1"/>
    </xf>
    <xf numFmtId="0" fontId="0" fillId="5" borderId="82" xfId="0" applyFill="1" applyBorder="1" applyAlignment="1">
      <alignment vertical="top" wrapText="1"/>
    </xf>
    <xf numFmtId="0" fontId="38" fillId="5" borderId="82" xfId="0" applyFont="1" applyFill="1" applyBorder="1" applyAlignment="1">
      <alignment vertical="center" wrapText="1"/>
    </xf>
    <xf numFmtId="0" fontId="37" fillId="5" borderId="80" xfId="0" applyFont="1" applyFill="1" applyBorder="1" applyAlignment="1">
      <alignment vertical="center" wrapText="1"/>
    </xf>
    <xf numFmtId="0" fontId="39" fillId="5" borderId="80" xfId="0" applyFont="1" applyFill="1" applyBorder="1" applyAlignment="1">
      <alignment vertical="center" wrapText="1"/>
    </xf>
    <xf numFmtId="0" fontId="0" fillId="5" borderId="80" xfId="0" applyFill="1" applyBorder="1" applyAlignment="1">
      <alignment vertical="top" wrapText="1"/>
    </xf>
    <xf numFmtId="0" fontId="0" fillId="5" borderId="84" xfId="0" applyFill="1" applyBorder="1" applyAlignment="1">
      <alignment vertical="top" wrapText="1"/>
    </xf>
    <xf numFmtId="0" fontId="40" fillId="5" borderId="80" xfId="0" applyFont="1" applyFill="1" applyBorder="1" applyAlignment="1">
      <alignment vertical="center" wrapText="1"/>
    </xf>
    <xf numFmtId="0" fontId="41" fillId="5" borderId="84" xfId="0" applyFont="1" applyFill="1" applyBorder="1" applyAlignment="1">
      <alignment vertical="center" wrapText="1"/>
    </xf>
    <xf numFmtId="0" fontId="42" fillId="5" borderId="80" xfId="0" applyFont="1" applyFill="1" applyBorder="1" applyAlignment="1">
      <alignment vertical="center" wrapText="1"/>
    </xf>
    <xf numFmtId="0" fontId="41" fillId="5" borderId="80" xfId="0" applyFont="1" applyFill="1" applyBorder="1" applyAlignment="1">
      <alignment vertical="center" wrapText="1"/>
    </xf>
    <xf numFmtId="0" fontId="0" fillId="0" borderId="14" xfId="0" applyFill="1" applyBorder="1" applyAlignment="1">
      <alignment wrapText="1"/>
    </xf>
    <xf numFmtId="0" fontId="0" fillId="0" borderId="28" xfId="0" applyBorder="1"/>
    <xf numFmtId="0" fontId="0" fillId="0" borderId="20" xfId="0" applyBorder="1" applyAlignment="1">
      <alignment wrapText="1"/>
    </xf>
    <xf numFmtId="0" fontId="3" fillId="0" borderId="15" xfId="0" applyFont="1" applyBorder="1" applyAlignment="1">
      <alignment horizontal="right" wrapText="1"/>
    </xf>
    <xf numFmtId="167" fontId="0" fillId="0" borderId="15" xfId="0" applyNumberFormat="1" applyBorder="1"/>
    <xf numFmtId="168" fontId="0" fillId="0" borderId="15" xfId="0" applyNumberFormat="1" applyBorder="1" applyAlignment="1">
      <alignment wrapText="1"/>
    </xf>
    <xf numFmtId="168" fontId="0" fillId="0" borderId="15" xfId="0" applyNumberFormat="1" applyBorder="1"/>
    <xf numFmtId="169" fontId="0" fillId="0" borderId="15" xfId="0" applyNumberFormat="1" applyBorder="1" applyAlignment="1">
      <alignment wrapText="1"/>
    </xf>
    <xf numFmtId="3" fontId="0" fillId="0" borderId="15" xfId="3" applyNumberFormat="1" applyFont="1" applyBorder="1" applyAlignment="1">
      <alignment wrapText="1"/>
    </xf>
    <xf numFmtId="3" fontId="0" fillId="0" borderId="28" xfId="0" applyNumberFormat="1" applyFill="1" applyBorder="1"/>
    <xf numFmtId="0" fontId="0" fillId="0" borderId="15" xfId="0" applyFill="1" applyBorder="1"/>
    <xf numFmtId="3" fontId="0" fillId="0" borderId="15" xfId="0" applyNumberFormat="1" applyFill="1" applyBorder="1"/>
    <xf numFmtId="164" fontId="0" fillId="0" borderId="15" xfId="1" applyNumberFormat="1" applyFont="1" applyFill="1" applyBorder="1"/>
    <xf numFmtId="3" fontId="0" fillId="0" borderId="20" xfId="0" applyNumberFormat="1" applyBorder="1" applyAlignment="1">
      <alignment horizontal="center" vertical="center"/>
    </xf>
    <xf numFmtId="0" fontId="3" fillId="3" borderId="15" xfId="0" applyFont="1" applyFill="1" applyBorder="1" applyAlignment="1">
      <alignment horizontal="center"/>
    </xf>
    <xf numFmtId="3" fontId="0" fillId="0" borderId="15" xfId="0" applyNumberFormat="1" applyBorder="1" applyAlignment="1">
      <alignment horizontal="center" vertical="center"/>
    </xf>
    <xf numFmtId="3" fontId="3" fillId="3" borderId="15" xfId="0" applyNumberFormat="1" applyFont="1" applyFill="1" applyBorder="1" applyAlignment="1">
      <alignment horizontal="center"/>
    </xf>
    <xf numFmtId="0" fontId="0" fillId="0" borderId="15" xfId="0" applyBorder="1" applyAlignment="1">
      <alignment horizontal="center"/>
    </xf>
    <xf numFmtId="44" fontId="0" fillId="0" borderId="15" xfId="2" applyFont="1" applyBorder="1" applyAlignment="1">
      <alignment horizontal="center" vertical="center"/>
    </xf>
    <xf numFmtId="165" fontId="0" fillId="0" borderId="20" xfId="2" applyNumberFormat="1" applyFont="1" applyBorder="1" applyAlignment="1">
      <alignment horizontal="center" vertical="center"/>
    </xf>
    <xf numFmtId="165" fontId="0" fillId="0" borderId="15" xfId="2" applyNumberFormat="1" applyFont="1" applyBorder="1" applyAlignment="1">
      <alignment horizontal="center" vertical="center"/>
    </xf>
    <xf numFmtId="3" fontId="0" fillId="0" borderId="21" xfId="0" applyNumberFormat="1" applyBorder="1" applyAlignment="1">
      <alignment horizontal="center" vertical="center"/>
    </xf>
    <xf numFmtId="3" fontId="0" fillId="0" borderId="16" xfId="0" applyNumberFormat="1" applyBorder="1" applyAlignment="1">
      <alignment horizontal="center" vertical="center"/>
    </xf>
    <xf numFmtId="1" fontId="0" fillId="0" borderId="16" xfId="0" applyNumberFormat="1" applyBorder="1" applyAlignment="1">
      <alignment horizontal="center" vertical="center"/>
    </xf>
    <xf numFmtId="1" fontId="3" fillId="3" borderId="16" xfId="1" applyNumberFormat="1" applyFont="1" applyFill="1" applyBorder="1" applyAlignment="1">
      <alignment horizontal="center"/>
    </xf>
    <xf numFmtId="1" fontId="3" fillId="3" borderId="16" xfId="0" applyNumberFormat="1" applyFont="1" applyFill="1" applyBorder="1" applyAlignment="1">
      <alignment horizontal="center"/>
    </xf>
    <xf numFmtId="164" fontId="21" fillId="0" borderId="66" xfId="1" applyNumberFormat="1" applyFont="1" applyFill="1" applyBorder="1" applyAlignment="1">
      <alignment horizontal="right"/>
    </xf>
    <xf numFmtId="167" fontId="0" fillId="0" borderId="15" xfId="3" applyNumberFormat="1" applyFont="1" applyBorder="1" applyAlignment="1">
      <alignment horizontal="right"/>
    </xf>
    <xf numFmtId="164" fontId="0" fillId="0" borderId="15" xfId="1" applyNumberFormat="1" applyFont="1" applyBorder="1" applyAlignment="1">
      <alignment horizontal="center"/>
    </xf>
    <xf numFmtId="9" fontId="0" fillId="0" borderId="15" xfId="3" applyFont="1" applyBorder="1" applyAlignment="1">
      <alignment horizontal="center"/>
    </xf>
    <xf numFmtId="167" fontId="0" fillId="0" borderId="15" xfId="0" applyNumberFormat="1" applyBorder="1" applyAlignment="1">
      <alignment wrapText="1"/>
    </xf>
    <xf numFmtId="3" fontId="0" fillId="0" borderId="7" xfId="0" applyNumberFormat="1" applyFill="1" applyBorder="1"/>
    <xf numFmtId="165" fontId="3" fillId="3" borderId="15" xfId="2" applyNumberFormat="1" applyFont="1" applyFill="1" applyBorder="1" applyAlignment="1"/>
    <xf numFmtId="0" fontId="0" fillId="0" borderId="57" xfId="0" applyFont="1" applyBorder="1" applyAlignment="1">
      <alignment wrapText="1"/>
    </xf>
    <xf numFmtId="165" fontId="0" fillId="0" borderId="0" xfId="0" applyNumberFormat="1"/>
    <xf numFmtId="0" fontId="43" fillId="0" borderId="15" xfId="0" applyFont="1" applyBorder="1" applyAlignment="1">
      <alignment wrapText="1"/>
    </xf>
    <xf numFmtId="1" fontId="0" fillId="0" borderId="15" xfId="0" applyNumberFormat="1" applyBorder="1" applyAlignment="1">
      <alignment horizontal="center" vertical="center"/>
    </xf>
    <xf numFmtId="3" fontId="0" fillId="2" borderId="15" xfId="0" applyNumberFormat="1" applyFill="1" applyBorder="1" applyAlignment="1">
      <alignment vertical="center" wrapText="1"/>
    </xf>
    <xf numFmtId="3" fontId="0" fillId="0" borderId="15" xfId="0" applyNumberFormat="1" applyBorder="1" applyAlignment="1">
      <alignment horizontal="center"/>
    </xf>
    <xf numFmtId="1" fontId="0" fillId="0" borderId="30" xfId="0" applyNumberFormat="1" applyBorder="1" applyAlignment="1">
      <alignment horizontal="center" vertical="center"/>
    </xf>
    <xf numFmtId="1" fontId="3" fillId="3" borderId="15" xfId="0" applyNumberFormat="1" applyFont="1" applyFill="1" applyBorder="1" applyAlignment="1">
      <alignment horizontal="center"/>
    </xf>
    <xf numFmtId="1" fontId="0" fillId="2" borderId="15" xfId="0" applyNumberFormat="1" applyFill="1" applyBorder="1" applyAlignment="1">
      <alignment horizontal="center" vertical="center" wrapText="1"/>
    </xf>
    <xf numFmtId="165" fontId="3" fillId="3" borderId="15" xfId="2" applyNumberFormat="1" applyFont="1" applyFill="1" applyBorder="1" applyAlignment="1">
      <alignment horizontal="center"/>
    </xf>
    <xf numFmtId="165" fontId="0" fillId="2" borderId="15" xfId="2" applyNumberFormat="1" applyFont="1" applyFill="1" applyBorder="1" applyAlignment="1">
      <alignment horizontal="center" vertical="center" wrapText="1"/>
    </xf>
    <xf numFmtId="165" fontId="0" fillId="0" borderId="15" xfId="2" applyNumberFormat="1" applyFont="1" applyBorder="1" applyAlignment="1">
      <alignment horizontal="center"/>
    </xf>
    <xf numFmtId="165" fontId="3" fillId="3" borderId="42" xfId="2" applyNumberFormat="1" applyFont="1" applyFill="1" applyBorder="1" applyAlignment="1">
      <alignment horizontal="center"/>
    </xf>
    <xf numFmtId="165" fontId="3" fillId="3" borderId="10" xfId="2" applyNumberFormat="1" applyFont="1" applyFill="1" applyBorder="1" applyAlignment="1">
      <alignment horizontal="center"/>
    </xf>
    <xf numFmtId="1" fontId="0" fillId="2" borderId="16" xfId="0" applyNumberFormat="1" applyFill="1" applyBorder="1" applyAlignment="1">
      <alignment horizontal="center" vertical="center" wrapText="1"/>
    </xf>
    <xf numFmtId="1" fontId="3" fillId="6" borderId="31" xfId="1" applyNumberFormat="1" applyFont="1" applyFill="1" applyBorder="1" applyAlignment="1">
      <alignment horizontal="center"/>
    </xf>
    <xf numFmtId="1" fontId="3" fillId="6" borderId="34" xfId="1" applyNumberFormat="1" applyFont="1" applyFill="1" applyBorder="1" applyAlignment="1">
      <alignment horizontal="center"/>
    </xf>
    <xf numFmtId="3" fontId="0" fillId="0" borderId="28" xfId="0" applyNumberFormat="1" applyFill="1" applyBorder="1" applyAlignment="1">
      <alignment wrapText="1"/>
    </xf>
    <xf numFmtId="0" fontId="44" fillId="0" borderId="0" xfId="0" applyFont="1" applyAlignment="1">
      <alignment vertical="center"/>
    </xf>
    <xf numFmtId="3" fontId="3" fillId="3" borderId="15" xfId="1" applyNumberFormat="1" applyFont="1" applyFill="1" applyBorder="1" applyAlignment="1"/>
    <xf numFmtId="3" fontId="0" fillId="0" borderId="17" xfId="0" applyNumberFormat="1" applyBorder="1" applyAlignment="1">
      <alignment vertical="center"/>
    </xf>
    <xf numFmtId="3" fontId="0" fillId="0" borderId="17" xfId="0" applyNumberFormat="1" applyBorder="1" applyAlignment="1"/>
    <xf numFmtId="3" fontId="0" fillId="0" borderId="15" xfId="0" applyNumberFormat="1" applyBorder="1" applyAlignment="1"/>
    <xf numFmtId="0" fontId="0" fillId="5" borderId="85" xfId="0" applyFill="1" applyBorder="1"/>
    <xf numFmtId="0" fontId="0" fillId="0" borderId="30" xfId="0" applyBorder="1" applyAlignment="1">
      <alignment horizontal="left" vertical="center" wrapText="1"/>
    </xf>
    <xf numFmtId="0" fontId="0" fillId="0" borderId="7" xfId="0" applyBorder="1" applyAlignment="1">
      <alignment horizontal="center" vertical="center"/>
    </xf>
    <xf numFmtId="165" fontId="0" fillId="0" borderId="28" xfId="2" applyNumberFormat="1" applyFont="1" applyFill="1" applyBorder="1" applyAlignment="1">
      <alignment wrapText="1"/>
    </xf>
    <xf numFmtId="165" fontId="0" fillId="0" borderId="28" xfId="2" applyNumberFormat="1" applyFont="1" applyBorder="1" applyAlignment="1">
      <alignment wrapText="1"/>
    </xf>
    <xf numFmtId="164" fontId="1" fillId="0" borderId="15" xfId="1" applyNumberFormat="1" applyFont="1" applyFill="1" applyBorder="1"/>
    <xf numFmtId="6" fontId="0" fillId="0" borderId="44" xfId="0" applyNumberFormat="1" applyBorder="1" applyAlignment="1">
      <alignment horizontal="right"/>
    </xf>
    <xf numFmtId="6" fontId="0" fillId="0" borderId="0" xfId="0" applyNumberFormat="1" applyAlignment="1">
      <alignment horizontal="right"/>
    </xf>
    <xf numFmtId="6" fontId="0" fillId="0" borderId="35" xfId="0" applyNumberFormat="1" applyBorder="1" applyAlignment="1">
      <alignment horizontal="right"/>
    </xf>
    <xf numFmtId="6" fontId="3" fillId="0" borderId="22" xfId="0" applyNumberFormat="1" applyFont="1" applyBorder="1" applyAlignment="1">
      <alignment horizontal="right"/>
    </xf>
    <xf numFmtId="6" fontId="3" fillId="0" borderId="23" xfId="0" applyNumberFormat="1" applyFont="1" applyBorder="1" applyAlignment="1">
      <alignment horizontal="right"/>
    </xf>
    <xf numFmtId="6" fontId="3" fillId="0" borderId="24" xfId="0" applyNumberFormat="1" applyFont="1" applyBorder="1" applyAlignment="1">
      <alignment horizontal="right"/>
    </xf>
    <xf numFmtId="6" fontId="0" fillId="0" borderId="54" xfId="0" applyNumberFormat="1" applyBorder="1" applyAlignment="1">
      <alignment horizontal="right"/>
    </xf>
    <xf numFmtId="6" fontId="0" fillId="0" borderId="56" xfId="0" applyNumberFormat="1" applyBorder="1" applyAlignment="1">
      <alignment horizontal="right"/>
    </xf>
    <xf numFmtId="6" fontId="0" fillId="0" borderId="55" xfId="0" applyNumberFormat="1" applyBorder="1" applyAlignment="1">
      <alignment horizontal="right"/>
    </xf>
    <xf numFmtId="6" fontId="3" fillId="0" borderId="44" xfId="0" applyNumberFormat="1" applyFont="1" applyBorder="1" applyAlignment="1">
      <alignment horizontal="right"/>
    </xf>
    <xf numFmtId="6" fontId="3" fillId="0" borderId="0" xfId="0" applyNumberFormat="1" applyFont="1" applyAlignment="1">
      <alignment horizontal="right"/>
    </xf>
    <xf numFmtId="6" fontId="3" fillId="0" borderId="35" xfId="0" applyNumberFormat="1" applyFont="1" applyBorder="1" applyAlignment="1">
      <alignment horizontal="right"/>
    </xf>
    <xf numFmtId="4" fontId="3" fillId="0" borderId="42" xfId="0" applyNumberFormat="1" applyFont="1" applyBorder="1" applyAlignment="1">
      <alignment horizontal="right"/>
    </xf>
    <xf numFmtId="4" fontId="3" fillId="0" borderId="38" xfId="0" applyNumberFormat="1" applyFont="1" applyBorder="1" applyAlignment="1">
      <alignment horizontal="right"/>
    </xf>
    <xf numFmtId="4" fontId="3" fillId="0" borderId="46" xfId="0" applyNumberFormat="1" applyFont="1" applyBorder="1" applyAlignment="1">
      <alignment horizontal="right"/>
    </xf>
    <xf numFmtId="6" fontId="0" fillId="0" borderId="22" xfId="0" applyNumberFormat="1" applyBorder="1" applyAlignment="1">
      <alignment horizontal="right"/>
    </xf>
    <xf numFmtId="6" fontId="0" fillId="0" borderId="23" xfId="0" applyNumberFormat="1" applyBorder="1" applyAlignment="1">
      <alignment horizontal="right"/>
    </xf>
    <xf numFmtId="6" fontId="0" fillId="0" borderId="24" xfId="0" applyNumberFormat="1" applyBorder="1" applyAlignment="1">
      <alignment horizontal="right"/>
    </xf>
    <xf numFmtId="4" fontId="3" fillId="0" borderId="22" xfId="0" applyNumberFormat="1" applyFont="1" applyBorder="1" applyAlignment="1">
      <alignment horizontal="right"/>
    </xf>
    <xf numFmtId="4" fontId="3" fillId="0" borderId="23" xfId="0" applyNumberFormat="1" applyFont="1" applyBorder="1" applyAlignment="1">
      <alignment horizontal="right"/>
    </xf>
    <xf numFmtId="4" fontId="3" fillId="0" borderId="24" xfId="0" applyNumberFormat="1" applyFont="1" applyBorder="1" applyAlignment="1">
      <alignment horizontal="right"/>
    </xf>
    <xf numFmtId="6" fontId="0" fillId="0" borderId="0" xfId="0" applyNumberFormat="1"/>
    <xf numFmtId="0" fontId="0" fillId="0" borderId="0" xfId="0" applyAlignment="1">
      <alignment horizontal="center"/>
    </xf>
    <xf numFmtId="0" fontId="3" fillId="0" borderId="45" xfId="0" applyFont="1" applyBorder="1" applyAlignment="1">
      <alignment horizontal="right" wrapText="1"/>
    </xf>
    <xf numFmtId="0" fontId="3" fillId="0" borderId="36" xfId="0" applyFont="1" applyBorder="1" applyAlignment="1">
      <alignment horizontal="right" wrapText="1"/>
    </xf>
    <xf numFmtId="0" fontId="3" fillId="0" borderId="1" xfId="0" applyFont="1" applyBorder="1" applyAlignment="1">
      <alignment horizontal="right" wrapText="1"/>
    </xf>
    <xf numFmtId="0" fontId="0" fillId="0" borderId="36" xfId="0" applyBorder="1" applyAlignment="1">
      <alignment horizontal="center" wrapText="1"/>
    </xf>
    <xf numFmtId="0" fontId="0" fillId="18" borderId="44" xfId="0" applyFill="1" applyBorder="1" applyAlignment="1">
      <alignment horizontal="right"/>
    </xf>
    <xf numFmtId="0" fontId="0" fillId="18" borderId="0" xfId="0" applyFill="1" applyAlignment="1">
      <alignment horizontal="right"/>
    </xf>
    <xf numFmtId="0" fontId="0" fillId="18" borderId="35" xfId="0" applyFill="1" applyBorder="1" applyAlignment="1">
      <alignment horizontal="right"/>
    </xf>
    <xf numFmtId="6" fontId="3" fillId="0" borderId="0" xfId="0" applyNumberFormat="1" applyFont="1"/>
    <xf numFmtId="4" fontId="3" fillId="0" borderId="0" xfId="0" applyNumberFormat="1" applyFont="1"/>
    <xf numFmtId="6" fontId="0" fillId="18" borderId="44" xfId="0" applyNumberFormat="1" applyFill="1" applyBorder="1" applyAlignment="1">
      <alignment horizontal="right"/>
    </xf>
    <xf numFmtId="6" fontId="0" fillId="18" borderId="0" xfId="0" applyNumberFormat="1" applyFill="1" applyAlignment="1">
      <alignment horizontal="right"/>
    </xf>
    <xf numFmtId="6" fontId="0" fillId="18" borderId="35" xfId="0" applyNumberFormat="1" applyFill="1" applyBorder="1" applyAlignment="1">
      <alignment horizontal="right"/>
    </xf>
    <xf numFmtId="4" fontId="0" fillId="0" borderId="0" xfId="0" applyNumberFormat="1"/>
    <xf numFmtId="2" fontId="0" fillId="0" borderId="17" xfId="2" applyNumberFormat="1" applyFont="1" applyBorder="1" applyAlignment="1">
      <alignment horizontal="right"/>
    </xf>
    <xf numFmtId="2" fontId="0" fillId="0" borderId="15" xfId="2" applyNumberFormat="1" applyFont="1" applyBorder="1" applyAlignment="1">
      <alignment horizontal="right"/>
    </xf>
    <xf numFmtId="2" fontId="3" fillId="0" borderId="17" xfId="2" applyNumberFormat="1" applyFont="1" applyBorder="1" applyAlignment="1">
      <alignment horizontal="right"/>
    </xf>
    <xf numFmtId="2" fontId="3" fillId="0" borderId="15" xfId="2" applyNumberFormat="1" applyFont="1" applyBorder="1" applyAlignment="1">
      <alignment horizontal="right"/>
    </xf>
    <xf numFmtId="2" fontId="0" fillId="0" borderId="9" xfId="2" applyNumberFormat="1" applyFont="1" applyBorder="1" applyAlignment="1">
      <alignment horizontal="right"/>
    </xf>
    <xf numFmtId="2" fontId="0" fillId="0" borderId="12" xfId="2" applyNumberFormat="1" applyFont="1" applyBorder="1" applyAlignment="1">
      <alignment horizontal="right"/>
    </xf>
    <xf numFmtId="2" fontId="0" fillId="0" borderId="17" xfId="2" applyNumberFormat="1" applyFont="1" applyBorder="1" applyAlignment="1"/>
    <xf numFmtId="2" fontId="0" fillId="0" borderId="15" xfId="2" applyNumberFormat="1" applyFont="1" applyBorder="1" applyAlignment="1"/>
    <xf numFmtId="2" fontId="0" fillId="0" borderId="15" xfId="3" applyNumberFormat="1" applyFont="1" applyBorder="1" applyAlignment="1">
      <alignment horizontal="center"/>
    </xf>
    <xf numFmtId="2" fontId="0" fillId="0" borderId="16" xfId="3" applyNumberFormat="1" applyFont="1" applyBorder="1" applyAlignment="1">
      <alignment horizontal="center"/>
    </xf>
    <xf numFmtId="2" fontId="0" fillId="0" borderId="15" xfId="3" applyNumberFormat="1" applyFont="1" applyBorder="1" applyAlignment="1">
      <alignment horizontal="right"/>
    </xf>
    <xf numFmtId="2" fontId="0" fillId="0" borderId="16" xfId="3" applyNumberFormat="1" applyFont="1" applyBorder="1" applyAlignment="1">
      <alignment horizontal="right"/>
    </xf>
    <xf numFmtId="2" fontId="3" fillId="0" borderId="17" xfId="2" applyNumberFormat="1" applyFont="1" applyBorder="1" applyAlignment="1"/>
    <xf numFmtId="2" fontId="3" fillId="0" borderId="15" xfId="2" applyNumberFormat="1" applyFont="1" applyBorder="1" applyAlignment="1"/>
    <xf numFmtId="2" fontId="3" fillId="0" borderId="15" xfId="3" applyNumberFormat="1" applyFont="1" applyBorder="1" applyAlignment="1">
      <alignment horizontal="center"/>
    </xf>
    <xf numFmtId="2" fontId="3" fillId="0" borderId="16" xfId="3" applyNumberFormat="1" applyFont="1" applyBorder="1" applyAlignment="1">
      <alignment horizontal="center"/>
    </xf>
    <xf numFmtId="2" fontId="3" fillId="0" borderId="15" xfId="3" applyNumberFormat="1" applyFont="1" applyBorder="1" applyAlignment="1">
      <alignment horizontal="right"/>
    </xf>
    <xf numFmtId="2" fontId="3" fillId="0" borderId="16" xfId="3" applyNumberFormat="1" applyFont="1" applyBorder="1" applyAlignment="1">
      <alignment horizontal="right"/>
    </xf>
    <xf numFmtId="2" fontId="0" fillId="0" borderId="9" xfId="2" applyNumberFormat="1" applyFont="1" applyBorder="1" applyAlignment="1"/>
    <xf numFmtId="2" fontId="0" fillId="0" borderId="12" xfId="2" applyNumberFormat="1" applyFont="1" applyBorder="1" applyAlignment="1"/>
    <xf numFmtId="2" fontId="0" fillId="0" borderId="12" xfId="3" applyNumberFormat="1" applyFont="1" applyBorder="1" applyAlignment="1">
      <alignment horizontal="center"/>
    </xf>
    <xf numFmtId="2" fontId="0" fillId="0" borderId="10" xfId="3" applyNumberFormat="1" applyFont="1" applyBorder="1" applyAlignment="1">
      <alignment horizontal="center"/>
    </xf>
    <xf numFmtId="2" fontId="0" fillId="0" borderId="12" xfId="3" applyNumberFormat="1" applyFont="1" applyBorder="1" applyAlignment="1">
      <alignment horizontal="right"/>
    </xf>
    <xf numFmtId="2" fontId="0" fillId="0" borderId="10" xfId="3" applyNumberFormat="1" applyFont="1" applyBorder="1" applyAlignment="1">
      <alignment horizontal="right"/>
    </xf>
    <xf numFmtId="0" fontId="7" fillId="2" borderId="17" xfId="0" applyFont="1" applyFill="1" applyBorder="1" applyAlignment="1">
      <alignment horizontal="center" wrapText="1"/>
    </xf>
    <xf numFmtId="164" fontId="7" fillId="2" borderId="14" xfId="1" applyNumberFormat="1" applyFont="1" applyFill="1" applyBorder="1" applyAlignment="1">
      <alignment horizontal="center" wrapText="1"/>
    </xf>
    <xf numFmtId="164" fontId="7" fillId="2" borderId="71" xfId="1" applyNumberFormat="1" applyFont="1" applyFill="1" applyBorder="1" applyAlignment="1">
      <alignment horizontal="center" wrapText="1"/>
    </xf>
    <xf numFmtId="164" fontId="7" fillId="2" borderId="30" xfId="1" applyNumberFormat="1" applyFont="1" applyFill="1" applyBorder="1" applyAlignment="1">
      <alignment horizontal="center" wrapText="1"/>
    </xf>
    <xf numFmtId="164" fontId="7" fillId="2" borderId="16" xfId="1" applyNumberFormat="1" applyFont="1" applyFill="1" applyBorder="1" applyAlignment="1">
      <alignment horizontal="center" wrapText="1"/>
    </xf>
    <xf numFmtId="2" fontId="0" fillId="0" borderId="0" xfId="0" applyNumberFormat="1"/>
    <xf numFmtId="0" fontId="7" fillId="2" borderId="58"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40" xfId="0" applyFont="1" applyFill="1" applyBorder="1" applyAlignment="1">
      <alignment horizontal="center" vertical="center" wrapText="1"/>
    </xf>
    <xf numFmtId="0" fontId="7" fillId="2" borderId="72"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34" fillId="21" borderId="78" xfId="0" applyFont="1" applyFill="1" applyBorder="1" applyAlignment="1">
      <alignment horizontal="center" vertical="center" wrapText="1"/>
    </xf>
    <xf numFmtId="0" fontId="34" fillId="21" borderId="79" xfId="0" applyFont="1" applyFill="1" applyBorder="1" applyAlignment="1">
      <alignment horizontal="center" vertical="center" wrapText="1"/>
    </xf>
    <xf numFmtId="0" fontId="38" fillId="5" borderId="83" xfId="0" applyFont="1" applyFill="1" applyBorder="1" applyAlignment="1">
      <alignment vertical="center" wrapText="1"/>
    </xf>
    <xf numFmtId="0" fontId="38" fillId="5" borderId="84" xfId="0" applyFont="1" applyFill="1" applyBorder="1" applyAlignment="1">
      <alignment vertical="center" wrapText="1"/>
    </xf>
    <xf numFmtId="0" fontId="6" fillId="2" borderId="3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36" xfId="0" applyFont="1" applyFill="1" applyBorder="1" applyAlignment="1">
      <alignment horizontal="center" vertical="center"/>
    </xf>
    <xf numFmtId="0" fontId="0" fillId="0" borderId="17" xfId="0" applyBorder="1" applyAlignment="1">
      <alignment horizontal="left" vertical="center" wrapText="1"/>
    </xf>
    <xf numFmtId="0" fontId="6" fillId="2" borderId="38" xfId="0" applyFont="1" applyFill="1" applyBorder="1" applyAlignment="1">
      <alignment horizontal="center" vertical="center"/>
    </xf>
    <xf numFmtId="164" fontId="7" fillId="2" borderId="32"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8" xfId="1" applyNumberFormat="1" applyFont="1" applyFill="1" applyBorder="1" applyAlignment="1">
      <alignment horizontal="center" vertical="center" wrapText="1"/>
    </xf>
    <xf numFmtId="164" fontId="7" fillId="2" borderId="46" xfId="1" applyNumberFormat="1"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164" fontId="7" fillId="7" borderId="46" xfId="1" applyNumberFormat="1" applyFont="1" applyFill="1" applyBorder="1" applyAlignment="1">
      <alignment horizontal="center" vertical="center" wrapText="1"/>
    </xf>
    <xf numFmtId="0" fontId="20" fillId="2" borderId="45" xfId="6" applyFont="1" applyFill="1" applyBorder="1" applyAlignment="1">
      <alignment horizontal="center" vertical="center" wrapText="1"/>
    </xf>
    <xf numFmtId="0" fontId="1" fillId="2" borderId="36" xfId="0" applyFont="1" applyFill="1" applyBorder="1" applyAlignment="1">
      <alignment wrapText="1"/>
    </xf>
    <xf numFmtId="0" fontId="1" fillId="2" borderId="1" xfId="0" applyFont="1" applyFill="1" applyBorder="1" applyAlignment="1">
      <alignment wrapText="1"/>
    </xf>
    <xf numFmtId="0" fontId="1" fillId="2" borderId="42" xfId="0" applyFont="1" applyFill="1" applyBorder="1" applyAlignment="1">
      <alignment wrapText="1"/>
    </xf>
    <xf numFmtId="0" fontId="1" fillId="2" borderId="38" xfId="0" applyFont="1" applyFill="1" applyBorder="1" applyAlignment="1">
      <alignment wrapText="1"/>
    </xf>
    <xf numFmtId="0" fontId="1" fillId="2" borderId="46" xfId="0" applyFont="1" applyFill="1" applyBorder="1" applyAlignment="1">
      <alignment wrapText="1"/>
    </xf>
    <xf numFmtId="0" fontId="28" fillId="0" borderId="0" xfId="7" applyFont="1" applyAlignment="1">
      <alignment horizontal="left" vertical="center" wrapText="1"/>
    </xf>
    <xf numFmtId="0" fontId="30" fillId="0" borderId="0" xfId="7" applyFont="1" applyAlignment="1">
      <alignment horizontal="left" vertical="top" wrapText="1"/>
    </xf>
    <xf numFmtId="0" fontId="25" fillId="0" borderId="0" xfId="7" applyAlignment="1">
      <alignment horizontal="left" wrapText="1"/>
    </xf>
    <xf numFmtId="0" fontId="31" fillId="0" borderId="15" xfId="7" applyFont="1" applyBorder="1" applyAlignment="1">
      <alignment horizontal="center" vertical="center"/>
    </xf>
    <xf numFmtId="0" fontId="0" fillId="9" borderId="23" xfId="0" applyFill="1" applyBorder="1" applyAlignment="1" applyProtection="1">
      <alignment horizontal="center" vertical="center"/>
      <protection hidden="1"/>
    </xf>
    <xf numFmtId="0" fontId="0" fillId="9" borderId="28" xfId="0" applyFill="1" applyBorder="1" applyAlignment="1" applyProtection="1">
      <alignment horizontal="center" vertical="center"/>
      <protection hidden="1"/>
    </xf>
    <xf numFmtId="0" fontId="0" fillId="11" borderId="30" xfId="0" applyFill="1" applyBorder="1" applyAlignment="1" applyProtection="1">
      <alignment horizontal="center" vertical="center"/>
      <protection hidden="1"/>
    </xf>
    <xf numFmtId="0" fontId="0" fillId="11" borderId="23" xfId="0" applyFill="1" applyBorder="1" applyAlignment="1" applyProtection="1">
      <alignment horizontal="center" vertical="center"/>
      <protection hidden="1"/>
    </xf>
    <xf numFmtId="0" fontId="0" fillId="11" borderId="28" xfId="0" applyFill="1" applyBorder="1" applyAlignment="1" applyProtection="1">
      <alignment horizontal="center" vertical="center"/>
      <protection hidden="1"/>
    </xf>
    <xf numFmtId="0" fontId="0" fillId="12" borderId="30" xfId="0" applyFill="1" applyBorder="1" applyAlignment="1" applyProtection="1">
      <alignment horizontal="center" vertical="center" wrapText="1"/>
      <protection hidden="1"/>
    </xf>
    <xf numFmtId="0" fontId="0" fillId="12" borderId="23" xfId="0" applyFill="1" applyBorder="1" applyAlignment="1" applyProtection="1">
      <alignment horizontal="center" vertical="center" wrapText="1"/>
      <protection hidden="1"/>
    </xf>
    <xf numFmtId="0" fontId="0" fillId="12" borderId="28" xfId="0" applyFill="1" applyBorder="1" applyAlignment="1" applyProtection="1">
      <alignment horizontal="center" vertical="center" wrapText="1"/>
      <protection hidden="1"/>
    </xf>
    <xf numFmtId="1" fontId="0" fillId="0" borderId="17" xfId="0" applyNumberFormat="1" applyBorder="1" applyAlignment="1">
      <alignment vertical="center"/>
    </xf>
    <xf numFmtId="1" fontId="0" fillId="0" borderId="15" xfId="0" applyNumberFormat="1" applyBorder="1" applyAlignment="1">
      <alignment vertical="center"/>
    </xf>
    <xf numFmtId="1" fontId="0" fillId="5" borderId="15" xfId="0" applyNumberFormat="1" applyFill="1" applyBorder="1"/>
    <xf numFmtId="43" fontId="0" fillId="5" borderId="15" xfId="0" applyNumberFormat="1" applyFill="1" applyBorder="1"/>
    <xf numFmtId="44" fontId="0" fillId="0" borderId="20" xfId="2" applyFont="1" applyBorder="1" applyAlignment="1">
      <alignment horizontal="center" vertical="center"/>
    </xf>
    <xf numFmtId="0" fontId="0" fillId="0" borderId="20" xfId="0" applyBorder="1" applyAlignment="1">
      <alignment horizontal="center" vertical="center"/>
    </xf>
    <xf numFmtId="0" fontId="0" fillId="2" borderId="15" xfId="0" applyFill="1" applyBorder="1" applyAlignment="1">
      <alignment horizontal="center" vertical="center" wrapText="1"/>
    </xf>
    <xf numFmtId="44" fontId="0" fillId="2" borderId="15" xfId="2" applyFont="1" applyFill="1" applyBorder="1" applyAlignment="1">
      <alignment horizontal="center" vertical="center" wrapText="1"/>
    </xf>
    <xf numFmtId="0" fontId="0" fillId="2" borderId="16" xfId="0" applyFill="1" applyBorder="1" applyAlignment="1">
      <alignment horizontal="center" vertical="center" wrapText="1"/>
    </xf>
    <xf numFmtId="44" fontId="3" fillId="3" borderId="15" xfId="2" applyFont="1" applyFill="1" applyBorder="1" applyAlignment="1">
      <alignment horizontal="center"/>
    </xf>
    <xf numFmtId="164" fontId="3" fillId="3" borderId="16" xfId="1" applyNumberFormat="1" applyFont="1" applyFill="1" applyBorder="1" applyAlignment="1">
      <alignment horizontal="center"/>
    </xf>
    <xf numFmtId="44" fontId="0" fillId="0" borderId="15" xfId="2" applyFont="1" applyBorder="1" applyAlignment="1">
      <alignment horizontal="center"/>
    </xf>
    <xf numFmtId="42" fontId="0" fillId="0" borderId="15" xfId="2" applyNumberFormat="1" applyFont="1" applyBorder="1" applyAlignment="1">
      <alignment horizontal="center" vertical="center"/>
    </xf>
    <xf numFmtId="164" fontId="3" fillId="6" borderId="31" xfId="1" applyNumberFormat="1" applyFont="1" applyFill="1" applyBorder="1" applyAlignment="1">
      <alignment horizontal="center"/>
    </xf>
    <xf numFmtId="164" fontId="3" fillId="6" borderId="39" xfId="1" applyNumberFormat="1" applyFont="1" applyFill="1" applyBorder="1" applyAlignment="1">
      <alignment horizontal="center"/>
    </xf>
    <xf numFmtId="44" fontId="3" fillId="3" borderId="42" xfId="2" applyFont="1" applyFill="1" applyBorder="1" applyAlignment="1">
      <alignment horizontal="center"/>
    </xf>
    <xf numFmtId="44" fontId="3" fillId="3" borderId="10" xfId="2" applyFont="1" applyFill="1" applyBorder="1" applyAlignment="1">
      <alignment horizontal="center"/>
    </xf>
    <xf numFmtId="164" fontId="3" fillId="6" borderId="34" xfId="1" applyNumberFormat="1" applyFont="1" applyFill="1" applyBorder="1" applyAlignment="1">
      <alignment horizontal="center"/>
    </xf>
    <xf numFmtId="42" fontId="3" fillId="3" borderId="15" xfId="2" applyNumberFormat="1" applyFont="1" applyFill="1" applyBorder="1" applyAlignment="1">
      <alignment horizontal="center"/>
    </xf>
    <xf numFmtId="3" fontId="0" fillId="2" borderId="15" xfId="0" applyNumberFormat="1" applyFill="1" applyBorder="1" applyAlignment="1">
      <alignment horizontal="center" vertical="center" wrapText="1"/>
    </xf>
    <xf numFmtId="3" fontId="3" fillId="6" borderId="31" xfId="1" applyNumberFormat="1" applyFont="1" applyFill="1" applyBorder="1" applyAlignment="1">
      <alignment horizontal="center"/>
    </xf>
    <xf numFmtId="3" fontId="3" fillId="6" borderId="34" xfId="1" applyNumberFormat="1" applyFont="1" applyFill="1" applyBorder="1" applyAlignment="1">
      <alignment horizontal="center"/>
    </xf>
  </cellXfs>
  <cellStyles count="8">
    <cellStyle name="Comma" xfId="1" builtinId="3"/>
    <cellStyle name="Currency" xfId="2" builtinId="4"/>
    <cellStyle name="Normal" xfId="0" builtinId="0"/>
    <cellStyle name="Normal 10 2" xfId="4" xr:uid="{00000000-0005-0000-0000-000003000000}"/>
    <cellStyle name="Normal 2" xfId="7" xr:uid="{00000000-0005-0000-0000-000004000000}"/>
    <cellStyle name="Normal_Lookup Sheet" xfId="5" xr:uid="{00000000-0005-0000-0000-000005000000}"/>
    <cellStyle name="Normal_Revised Exhibit 1_021810_Eberts" xfId="6" xr:uid="{00000000-0005-0000-0000-000006000000}"/>
    <cellStyle name="Percent" xfId="3" builtinId="5"/>
  </cellStyles>
  <dxfs count="1">
    <dxf>
      <fill>
        <patternFill>
          <bgColor theme="7"/>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'Tables 2-6'!$I$1:$J$1</c:f>
              <c:strCache>
                <c:ptCount val="2"/>
                <c:pt idx="0">
                  <c:v>Annual Energy Savings</c:v>
                </c:pt>
                <c:pt idx="1">
                  <c:v>Expenditures</c:v>
                </c:pt>
              </c:strCache>
            </c:strRef>
          </c:cat>
          <c:val>
            <c:numRef>
              <c:f>'Tables 2-6'!$I$2:$J$2</c:f>
              <c:numCache>
                <c:formatCode>0%</c:formatCode>
                <c:ptCount val="2"/>
                <c:pt idx="0">
                  <c:v>0.51074872972657026</c:v>
                </c:pt>
                <c:pt idx="1">
                  <c:v>0.40531987619043919</c:v>
                </c:pt>
              </c:numCache>
            </c:numRef>
          </c:val>
          <c:extLst>
            <c:ext xmlns:c16="http://schemas.microsoft.com/office/drawing/2014/chart" uri="{C3380CC4-5D6E-409C-BE32-E72D297353CC}">
              <c16:uniqueId val="{00000000-8174-49E7-810E-B521C33ACC41}"/>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Metrics'!$H$7:$I$7</c:f>
              <c:numCache>
                <c:formatCode>_(* #,##0_);_(* \(#,##0\);_(* "-"??_);_(@_)</c:formatCode>
                <c:ptCount val="2"/>
                <c:pt idx="0">
                  <c:v>4624.8</c:v>
                </c:pt>
                <c:pt idx="1">
                  <c:v>2333.75</c:v>
                </c:pt>
              </c:numCache>
            </c:numRef>
          </c:val>
          <c:extLst>
            <c:ext xmlns:c16="http://schemas.microsoft.com/office/drawing/2014/chart" uri="{C3380CC4-5D6E-409C-BE32-E72D297353CC}">
              <c16:uniqueId val="{00000000-26AC-4522-B733-37C986B2703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 Primary Metrics - 2020/21  TRM </c:v>
                </c:pt>
                <c:pt idx="1">
                  <c:v> Secondary Metrics - 2022 TRM </c:v>
                </c:pt>
              </c:strCache>
            </c:strRef>
          </c:cat>
          <c:val>
            <c:numRef>
              <c:f>'AP F - Secondary Metrics'!$H$8:$I$8</c:f>
              <c:numCache>
                <c:formatCode>_(* #,##0_);_(* \(#,##0\);_(* "-"??_);_(@_)</c:formatCode>
                <c:ptCount val="2"/>
                <c:pt idx="0">
                  <c:v>61611.030000000006</c:v>
                </c:pt>
                <c:pt idx="1">
                  <c:v>14170</c:v>
                </c:pt>
              </c:numCache>
            </c:numRef>
          </c:val>
          <c:extLst>
            <c:ext xmlns:c16="http://schemas.microsoft.com/office/drawing/2014/chart" uri="{C3380CC4-5D6E-409C-BE32-E72D297353CC}">
              <c16:uniqueId val="{00000000-8EF9-4844-BB90-B5EC72560195}"/>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410307</xdr:colOff>
      <xdr:row>2</xdr:row>
      <xdr:rowOff>41031</xdr:rowOff>
    </xdr:from>
    <xdr:to>
      <xdr:col>12</xdr:col>
      <xdr:colOff>439616</xdr:colOff>
      <xdr:row>17</xdr:row>
      <xdr:rowOff>87924</xdr:rowOff>
    </xdr:to>
    <xdr:graphicFrame macro="">
      <xdr:nvGraphicFramePr>
        <xdr:cNvPr id="2" name="Chart 1">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636954</xdr:colOff>
      <xdr:row>18</xdr:row>
      <xdr:rowOff>58369</xdr:rowOff>
    </xdr:from>
    <xdr:to>
      <xdr:col>12</xdr:col>
      <xdr:colOff>622300</xdr:colOff>
      <xdr:row>32</xdr:row>
      <xdr:rowOff>123824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dnickP\AppData\Local\Microsoft\Windows\INetCache\Content.Outlook\0SPMWYRP\RECO%20PY1%20Annual%20Report_AEG%20analys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CO%20Table%207%20Full%20Program-Level%20Det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7 FULL"/>
    </sheetNames>
    <sheetDataSet>
      <sheetData sheetId="0" refreshError="1">
        <row r="11">
          <cell r="E11">
            <v>55</v>
          </cell>
          <cell r="F11">
            <v>0</v>
          </cell>
          <cell r="H11">
            <v>108</v>
          </cell>
          <cell r="I11">
            <v>0</v>
          </cell>
        </row>
        <row r="12">
          <cell r="E12">
            <v>5543</v>
          </cell>
          <cell r="F12">
            <v>0</v>
          </cell>
          <cell r="H12">
            <v>17827</v>
          </cell>
          <cell r="I12">
            <v>0</v>
          </cell>
        </row>
        <row r="13">
          <cell r="E13">
            <v>1</v>
          </cell>
          <cell r="F13">
            <v>0</v>
          </cell>
          <cell r="H13">
            <v>6</v>
          </cell>
          <cell r="I13">
            <v>0</v>
          </cell>
        </row>
        <row r="14">
          <cell r="D14">
            <v>39</v>
          </cell>
          <cell r="E14">
            <v>4395</v>
          </cell>
          <cell r="F14">
            <v>8.7446410054015569E-3</v>
          </cell>
          <cell r="G14">
            <v>327</v>
          </cell>
          <cell r="H14">
            <v>37089</v>
          </cell>
          <cell r="I14">
            <v>8.7446410054015551E-3</v>
          </cell>
        </row>
        <row r="15">
          <cell r="E15">
            <v>777</v>
          </cell>
          <cell r="F15">
            <v>0</v>
          </cell>
          <cell r="H15">
            <v>4418</v>
          </cell>
          <cell r="I15">
            <v>0</v>
          </cell>
        </row>
        <row r="21">
          <cell r="E21">
            <v>29</v>
          </cell>
          <cell r="F21">
            <v>0</v>
          </cell>
          <cell r="G21">
            <v>1</v>
          </cell>
          <cell r="H21">
            <v>48</v>
          </cell>
          <cell r="I21">
            <v>2.0408163265306121E-2</v>
          </cell>
        </row>
        <row r="22">
          <cell r="H22">
            <v>263</v>
          </cell>
          <cell r="I22">
            <v>0</v>
          </cell>
        </row>
        <row r="24">
          <cell r="D24">
            <v>1</v>
          </cell>
          <cell r="E24">
            <v>641</v>
          </cell>
          <cell r="F24">
            <v>1.557632398753894E-3</v>
          </cell>
          <cell r="G24">
            <v>1</v>
          </cell>
          <cell r="H24">
            <v>814</v>
          </cell>
          <cell r="I24">
            <v>1.2269938650306749E-3</v>
          </cell>
        </row>
        <row r="26">
          <cell r="D26">
            <v>12</v>
          </cell>
          <cell r="F26">
            <v>1</v>
          </cell>
          <cell r="G26">
            <v>17</v>
          </cell>
          <cell r="I26">
            <v>1</v>
          </cell>
        </row>
        <row r="31">
          <cell r="E31">
            <v>-17047</v>
          </cell>
          <cell r="F31">
            <v>0</v>
          </cell>
          <cell r="H31">
            <v>184868</v>
          </cell>
          <cell r="I31">
            <v>0</v>
          </cell>
        </row>
        <row r="32">
          <cell r="E32">
            <v>71915</v>
          </cell>
          <cell r="F32">
            <v>0</v>
          </cell>
          <cell r="H32">
            <v>170981</v>
          </cell>
          <cell r="I32">
            <v>0</v>
          </cell>
        </row>
        <row r="33">
          <cell r="E33">
            <v>15396</v>
          </cell>
          <cell r="F33">
            <v>0</v>
          </cell>
          <cell r="H33">
            <v>20866</v>
          </cell>
          <cell r="I33">
            <v>0</v>
          </cell>
        </row>
        <row r="34">
          <cell r="D34">
            <v>0</v>
          </cell>
          <cell r="E34">
            <v>-125225</v>
          </cell>
          <cell r="F34">
            <v>0</v>
          </cell>
          <cell r="G34">
            <v>136</v>
          </cell>
          <cell r="H34">
            <v>15470</v>
          </cell>
          <cell r="I34">
            <v>8.7446410054015569E-3</v>
          </cell>
        </row>
        <row r="35">
          <cell r="E35">
            <v>173717</v>
          </cell>
          <cell r="F35">
            <v>0</v>
          </cell>
          <cell r="H35">
            <v>331855</v>
          </cell>
          <cell r="I35">
            <v>0</v>
          </cell>
        </row>
        <row r="36">
          <cell r="E36">
            <v>18910.5</v>
          </cell>
          <cell r="F36">
            <v>0</v>
          </cell>
          <cell r="H36">
            <v>47428</v>
          </cell>
          <cell r="I36">
            <v>0</v>
          </cell>
        </row>
        <row r="37">
          <cell r="E37">
            <v>18910.5</v>
          </cell>
          <cell r="F37">
            <v>0</v>
          </cell>
          <cell r="H37">
            <v>47428</v>
          </cell>
          <cell r="I37">
            <v>0</v>
          </cell>
        </row>
        <row r="38">
          <cell r="E38">
            <v>58625</v>
          </cell>
          <cell r="F38">
            <v>0</v>
          </cell>
          <cell r="H38">
            <v>89853</v>
          </cell>
          <cell r="I38">
            <v>0</v>
          </cell>
        </row>
        <row r="39">
          <cell r="E39">
            <v>49691</v>
          </cell>
          <cell r="F39">
            <v>0</v>
          </cell>
          <cell r="H39">
            <v>86331</v>
          </cell>
          <cell r="I39">
            <v>0</v>
          </cell>
        </row>
        <row r="40">
          <cell r="E40">
            <v>77412</v>
          </cell>
          <cell r="F40">
            <v>0</v>
          </cell>
          <cell r="H40">
            <v>266787</v>
          </cell>
          <cell r="I40">
            <v>0</v>
          </cell>
        </row>
        <row r="41">
          <cell r="E41">
            <v>331638</v>
          </cell>
          <cell r="F41">
            <v>0</v>
          </cell>
          <cell r="G41">
            <v>6919</v>
          </cell>
          <cell r="H41">
            <v>538552</v>
          </cell>
          <cell r="I41">
            <v>1.2684251644123021E-2</v>
          </cell>
        </row>
        <row r="42">
          <cell r="E42">
            <v>60819</v>
          </cell>
          <cell r="F42">
            <v>0</v>
          </cell>
          <cell r="H42">
            <v>60819</v>
          </cell>
          <cell r="I42">
            <v>0</v>
          </cell>
        </row>
        <row r="43">
          <cell r="E43">
            <v>12373</v>
          </cell>
          <cell r="F43">
            <v>0</v>
          </cell>
          <cell r="H43">
            <v>52043</v>
          </cell>
          <cell r="I43">
            <v>0</v>
          </cell>
        </row>
        <row r="44">
          <cell r="D44">
            <v>49</v>
          </cell>
          <cell r="E44">
            <v>31187</v>
          </cell>
          <cell r="F44">
            <v>1.557632398753894E-3</v>
          </cell>
          <cell r="G44">
            <v>148</v>
          </cell>
          <cell r="H44">
            <v>120094</v>
          </cell>
          <cell r="I44">
            <v>1.2269938650306749E-3</v>
          </cell>
        </row>
        <row r="45">
          <cell r="E45">
            <v>50384</v>
          </cell>
          <cell r="F45">
            <v>0</v>
          </cell>
          <cell r="H45">
            <v>86108</v>
          </cell>
          <cell r="I45">
            <v>0</v>
          </cell>
        </row>
        <row r="46">
          <cell r="D46">
            <v>33931</v>
          </cell>
          <cell r="F46">
            <v>1</v>
          </cell>
          <cell r="G46">
            <v>65277</v>
          </cell>
          <cell r="I46">
            <v>1</v>
          </cell>
        </row>
        <row r="51">
          <cell r="E51">
            <v>28.4</v>
          </cell>
          <cell r="F51">
            <v>0</v>
          </cell>
          <cell r="H51">
            <v>87.7</v>
          </cell>
          <cell r="I51">
            <v>0</v>
          </cell>
        </row>
        <row r="52">
          <cell r="E52">
            <v>1190.8</v>
          </cell>
          <cell r="F52">
            <v>0</v>
          </cell>
          <cell r="H52">
            <v>2707.8</v>
          </cell>
          <cell r="I52">
            <v>0</v>
          </cell>
        </row>
        <row r="53">
          <cell r="E53">
            <v>0.4</v>
          </cell>
          <cell r="F53">
            <v>0</v>
          </cell>
          <cell r="H53">
            <v>3.3</v>
          </cell>
          <cell r="I53">
            <v>0</v>
          </cell>
        </row>
        <row r="54">
          <cell r="D54">
            <v>3.3</v>
          </cell>
          <cell r="E54">
            <v>378.7</v>
          </cell>
          <cell r="F54">
            <v>8.7446410054015569E-3</v>
          </cell>
          <cell r="G54">
            <v>4.0999999999999996</v>
          </cell>
          <cell r="H54">
            <v>460.9</v>
          </cell>
          <cell r="I54">
            <v>8.7446410054015569E-3</v>
          </cell>
        </row>
        <row r="55">
          <cell r="E55">
            <v>191.7</v>
          </cell>
          <cell r="F55">
            <v>0</v>
          </cell>
          <cell r="H55">
            <v>443.9</v>
          </cell>
          <cell r="I55">
            <v>0</v>
          </cell>
        </row>
        <row r="61">
          <cell r="E61">
            <v>515.6</v>
          </cell>
          <cell r="F61">
            <v>0</v>
          </cell>
          <cell r="G61">
            <v>8.1999999999999993</v>
          </cell>
          <cell r="H61">
            <v>802.6</v>
          </cell>
          <cell r="I61">
            <v>1.011851389568952E-2</v>
          </cell>
        </row>
        <row r="62">
          <cell r="H62">
            <v>106.3</v>
          </cell>
          <cell r="I62">
            <v>0</v>
          </cell>
        </row>
        <row r="66">
          <cell r="D66">
            <v>13.5</v>
          </cell>
          <cell r="F66">
            <v>1</v>
          </cell>
          <cell r="G66">
            <v>19.5</v>
          </cell>
          <cell r="I66">
            <v>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s 2-6"/>
      <sheetName val="AP H - CostTest"/>
      <sheetName val="AP F - Secondary Metrics"/>
      <sheetName val="Program-Level"/>
      <sheetName val="Measure Level"/>
    </sheetNames>
    <sheetDataSet>
      <sheetData sheetId="0" refreshError="1"/>
      <sheetData sheetId="1" refreshError="1"/>
      <sheetData sheetId="2">
        <row r="3">
          <cell r="I3" t="str">
            <v>Residential Efficient Products</v>
          </cell>
          <cell r="J3" t="str">
            <v>Home Performance with Energy Star</v>
          </cell>
          <cell r="K3" t="str">
            <v>Multi-Family</v>
          </cell>
          <cell r="L3" t="str">
            <v>Small Business Direct Install</v>
          </cell>
          <cell r="M3" t="str">
            <v>Commercial and Industrial Rebate</v>
          </cell>
          <cell r="N3" t="str">
            <v>EE Portfolio</v>
          </cell>
          <cell r="O3" t="str">
            <v>Peak Demand Reduction</v>
          </cell>
          <cell r="P3" t="str">
            <v>Clean Heat Beneficial Electrification</v>
          </cell>
        </row>
        <row r="18">
          <cell r="I18">
            <v>2.4086285288605405</v>
          </cell>
          <cell r="J18">
            <v>0</v>
          </cell>
          <cell r="K18">
            <v>0</v>
          </cell>
          <cell r="L18">
            <v>0</v>
          </cell>
          <cell r="M18">
            <v>0.90520872376124006</v>
          </cell>
          <cell r="N18">
            <v>1.3135069968930413</v>
          </cell>
          <cell r="O18">
            <v>2.2727952606399007</v>
          </cell>
          <cell r="P18">
            <v>0</v>
          </cell>
        </row>
        <row r="23">
          <cell r="I23">
            <v>6.3205825406110376</v>
          </cell>
          <cell r="J23" t="str">
            <v>n/a</v>
          </cell>
          <cell r="K23" t="str">
            <v>n/a</v>
          </cell>
          <cell r="L23" t="str">
            <v>n/a</v>
          </cell>
          <cell r="M23">
            <v>2.537699945126946</v>
          </cell>
          <cell r="N23">
            <v>4.4017843866025563</v>
          </cell>
          <cell r="O23" t="str">
            <v>n/a</v>
          </cell>
          <cell r="P23" t="str">
            <v>n/a</v>
          </cell>
        </row>
        <row r="26">
          <cell r="I26">
            <v>2.9899102965454203</v>
          </cell>
          <cell r="J26">
            <v>0</v>
          </cell>
          <cell r="K26">
            <v>0</v>
          </cell>
          <cell r="L26">
            <v>0</v>
          </cell>
          <cell r="M26">
            <v>0.94920682090481734</v>
          </cell>
          <cell r="N26">
            <v>1.4550922445262884</v>
          </cell>
          <cell r="O26">
            <v>0.95239609503635125</v>
          </cell>
          <cell r="P26">
            <v>0</v>
          </cell>
        </row>
        <row r="31">
          <cell r="I31">
            <v>1.0192134266388655</v>
          </cell>
          <cell r="J31">
            <v>0</v>
          </cell>
          <cell r="K31">
            <v>0</v>
          </cell>
          <cell r="L31">
            <v>0</v>
          </cell>
          <cell r="M31">
            <v>0.58839632536577424</v>
          </cell>
          <cell r="N31">
            <v>0.74974758935342989</v>
          </cell>
          <cell r="O31">
            <v>0.95239609503635125</v>
          </cell>
          <cell r="P31">
            <v>0</v>
          </cell>
        </row>
        <row r="49">
          <cell r="I49">
            <v>4.2727175003539024</v>
          </cell>
          <cell r="J49">
            <v>0</v>
          </cell>
          <cell r="K49">
            <v>0</v>
          </cell>
          <cell r="L49">
            <v>0</v>
          </cell>
          <cell r="M49">
            <v>1.6050931641743253</v>
          </cell>
          <cell r="N49">
            <v>2.329837489368618</v>
          </cell>
          <cell r="O49">
            <v>2.3864350236718956</v>
          </cell>
          <cell r="P49">
            <v>0</v>
          </cell>
        </row>
      </sheetData>
      <sheetData sheetId="3" refreshError="1"/>
      <sheetData sheetId="4">
        <row r="25">
          <cell r="AA25">
            <v>4.2442190830189226</v>
          </cell>
        </row>
        <row r="26">
          <cell r="AA26">
            <v>0</v>
          </cell>
        </row>
        <row r="27">
          <cell r="AA27">
            <v>0</v>
          </cell>
        </row>
        <row r="28">
          <cell r="AA28">
            <v>0</v>
          </cell>
        </row>
        <row r="29">
          <cell r="AA29">
            <v>1.7225757524762311</v>
          </cell>
        </row>
        <row r="30">
          <cell r="AA30">
            <v>2.3719007261856615</v>
          </cell>
        </row>
        <row r="31">
          <cell r="AA31">
            <v>2.3864331084442165</v>
          </cell>
        </row>
        <row r="32">
          <cell r="AA32">
            <v>0</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7 FULL"/>
    </sheetNames>
    <sheetDataSet>
      <sheetData sheetId="0">
        <row r="11">
          <cell r="E11">
            <v>55</v>
          </cell>
          <cell r="H11">
            <v>108</v>
          </cell>
        </row>
        <row r="12">
          <cell r="E12">
            <v>5543</v>
          </cell>
          <cell r="H12">
            <v>17827</v>
          </cell>
        </row>
        <row r="13">
          <cell r="E13">
            <v>1</v>
          </cell>
          <cell r="H13">
            <v>6</v>
          </cell>
        </row>
        <row r="14">
          <cell r="D14">
            <v>39</v>
          </cell>
          <cell r="E14">
            <v>4395</v>
          </cell>
          <cell r="G14">
            <v>327</v>
          </cell>
          <cell r="H14">
            <v>37089</v>
          </cell>
        </row>
        <row r="15">
          <cell r="E15">
            <v>777</v>
          </cell>
          <cell r="H15">
            <v>4418</v>
          </cell>
        </row>
        <row r="21">
          <cell r="E21">
            <v>29</v>
          </cell>
          <cell r="G21">
            <v>1</v>
          </cell>
          <cell r="H21">
            <v>48</v>
          </cell>
        </row>
        <row r="22">
          <cell r="H22">
            <v>263</v>
          </cell>
        </row>
        <row r="24">
          <cell r="D24">
            <v>1</v>
          </cell>
          <cell r="E24">
            <v>641</v>
          </cell>
          <cell r="G24">
            <v>1</v>
          </cell>
          <cell r="H24">
            <v>814</v>
          </cell>
        </row>
        <row r="26">
          <cell r="D26">
            <v>12</v>
          </cell>
          <cell r="G26">
            <v>17</v>
          </cell>
        </row>
        <row r="31">
          <cell r="E31">
            <v>-17047</v>
          </cell>
          <cell r="H31">
            <v>184868</v>
          </cell>
        </row>
        <row r="32">
          <cell r="E32">
            <v>71915</v>
          </cell>
          <cell r="H32">
            <v>170981</v>
          </cell>
        </row>
        <row r="33">
          <cell r="E33">
            <v>15396</v>
          </cell>
          <cell r="H33">
            <v>20866</v>
          </cell>
        </row>
        <row r="34">
          <cell r="D34">
            <v>0</v>
          </cell>
          <cell r="E34">
            <v>-125225</v>
          </cell>
          <cell r="G34">
            <v>136</v>
          </cell>
          <cell r="H34">
            <v>15470</v>
          </cell>
        </row>
        <row r="35">
          <cell r="E35">
            <v>173717</v>
          </cell>
          <cell r="H35">
            <v>331855</v>
          </cell>
        </row>
        <row r="36">
          <cell r="E36">
            <v>18910.5</v>
          </cell>
          <cell r="H36">
            <v>47428</v>
          </cell>
        </row>
        <row r="37">
          <cell r="E37">
            <v>18910.5</v>
          </cell>
          <cell r="H37">
            <v>47428</v>
          </cell>
        </row>
        <row r="38">
          <cell r="E38">
            <v>58625</v>
          </cell>
          <cell r="H38">
            <v>89853</v>
          </cell>
        </row>
        <row r="39">
          <cell r="E39">
            <v>49691</v>
          </cell>
          <cell r="H39">
            <v>86331</v>
          </cell>
        </row>
        <row r="40">
          <cell r="E40">
            <v>77412</v>
          </cell>
          <cell r="H40">
            <v>266787</v>
          </cell>
        </row>
        <row r="41">
          <cell r="E41">
            <v>331638</v>
          </cell>
          <cell r="G41">
            <v>6919</v>
          </cell>
          <cell r="H41">
            <v>538552</v>
          </cell>
        </row>
        <row r="42">
          <cell r="E42">
            <v>60819</v>
          </cell>
          <cell r="H42">
            <v>60819</v>
          </cell>
        </row>
        <row r="43">
          <cell r="E43">
            <v>12373</v>
          </cell>
          <cell r="H43">
            <v>52043</v>
          </cell>
        </row>
        <row r="44">
          <cell r="D44">
            <v>49</v>
          </cell>
          <cell r="E44">
            <v>31187</v>
          </cell>
          <cell r="G44">
            <v>148</v>
          </cell>
          <cell r="H44">
            <v>120094</v>
          </cell>
        </row>
        <row r="45">
          <cell r="E45">
            <v>50384</v>
          </cell>
          <cell r="H45">
            <v>86108</v>
          </cell>
        </row>
        <row r="46">
          <cell r="D46">
            <v>33931</v>
          </cell>
          <cell r="G46">
            <v>65277</v>
          </cell>
        </row>
        <row r="51">
          <cell r="E51">
            <v>28.4</v>
          </cell>
          <cell r="H51">
            <v>87.7</v>
          </cell>
        </row>
        <row r="52">
          <cell r="E52">
            <v>1190.8</v>
          </cell>
          <cell r="H52">
            <v>2707.8</v>
          </cell>
        </row>
        <row r="53">
          <cell r="E53">
            <v>0.4</v>
          </cell>
          <cell r="H53">
            <v>3.3</v>
          </cell>
        </row>
        <row r="54">
          <cell r="D54">
            <v>3.3</v>
          </cell>
          <cell r="E54">
            <v>378.7</v>
          </cell>
          <cell r="G54">
            <v>4.0999999999999996</v>
          </cell>
          <cell r="H54">
            <v>460.9</v>
          </cell>
        </row>
        <row r="55">
          <cell r="E55">
            <v>191.7</v>
          </cell>
          <cell r="H55">
            <v>443.9</v>
          </cell>
        </row>
        <row r="61">
          <cell r="E61">
            <v>515.6</v>
          </cell>
          <cell r="G61">
            <v>8.1999999999999993</v>
          </cell>
          <cell r="H61">
            <v>802.6</v>
          </cell>
        </row>
        <row r="62">
          <cell r="H62">
            <v>106.3</v>
          </cell>
        </row>
        <row r="66">
          <cell r="D66">
            <v>13.5</v>
          </cell>
          <cell r="G66">
            <v>19.5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I7"/>
  <sheetViews>
    <sheetView tabSelected="1" zoomScaleNormal="100" workbookViewId="0">
      <selection activeCell="A9" sqref="A9"/>
    </sheetView>
  </sheetViews>
  <sheetFormatPr defaultRowHeight="14.5"/>
  <cols>
    <col min="2" max="9" width="18" customWidth="1"/>
  </cols>
  <sheetData>
    <row r="1" spans="2:9" ht="15" thickBot="1"/>
    <row r="2" spans="2:9" ht="48">
      <c r="B2" s="6" t="s">
        <v>0</v>
      </c>
      <c r="C2" s="21" t="s">
        <v>1</v>
      </c>
      <c r="D2" s="21" t="s">
        <v>2</v>
      </c>
      <c r="E2" s="21" t="s">
        <v>3</v>
      </c>
      <c r="F2" s="21" t="s">
        <v>4</v>
      </c>
      <c r="G2" s="21" t="s">
        <v>5</v>
      </c>
      <c r="H2" s="21" t="s">
        <v>6</v>
      </c>
      <c r="I2" s="220" t="s">
        <v>7</v>
      </c>
    </row>
    <row r="3" spans="2:9">
      <c r="B3" s="221" t="s">
        <v>8</v>
      </c>
      <c r="C3" s="222" t="s">
        <v>9</v>
      </c>
      <c r="D3" s="222" t="s">
        <v>10</v>
      </c>
      <c r="E3" s="222" t="s">
        <v>11</v>
      </c>
      <c r="F3" s="222" t="s">
        <v>12</v>
      </c>
      <c r="G3" s="222" t="s">
        <v>13</v>
      </c>
      <c r="H3" s="222" t="s">
        <v>14</v>
      </c>
      <c r="I3" s="223" t="s">
        <v>15</v>
      </c>
    </row>
    <row r="4" spans="2:9" ht="39.75" customHeight="1" thickBot="1">
      <c r="B4" s="316">
        <f>'Ap B - Qtr Electric Master'!N11+'Ap B - Qtr Electric Master'!N16</f>
        <v>4624.8</v>
      </c>
      <c r="C4" s="314">
        <f>'Ap B - Qtr Electric Master'!N24</f>
        <v>19.5</v>
      </c>
      <c r="D4" s="314">
        <v>0</v>
      </c>
      <c r="E4" s="314">
        <f>B4+C4+D4</f>
        <v>4644.3</v>
      </c>
      <c r="F4" s="314">
        <f>'Ap E - NJ CEA Benchmarks'!H12</f>
        <v>1578317.3333333333</v>
      </c>
      <c r="G4" s="320">
        <v>0</v>
      </c>
      <c r="H4" s="314">
        <f>F4*G4</f>
        <v>0</v>
      </c>
      <c r="I4" s="315" t="s">
        <v>365</v>
      </c>
    </row>
    <row r="6" spans="2:9" ht="16.5">
      <c r="B6" t="s">
        <v>16</v>
      </c>
    </row>
    <row r="7" spans="2:9" ht="16.5">
      <c r="B7" t="s">
        <v>17</v>
      </c>
    </row>
  </sheetData>
  <phoneticPr fontId="32"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39997558519241921"/>
  </sheetPr>
  <dimension ref="B1:S31"/>
  <sheetViews>
    <sheetView topLeftCell="B4" zoomScaleNormal="100" workbookViewId="0">
      <selection activeCell="C17" sqref="C17"/>
    </sheetView>
  </sheetViews>
  <sheetFormatPr defaultColWidth="9.1796875" defaultRowHeight="14"/>
  <cols>
    <col min="1" max="1" width="4.81640625" style="296" customWidth="1"/>
    <col min="2" max="2" width="35" style="296" customWidth="1"/>
    <col min="3" max="3" width="28.1796875" style="296" customWidth="1"/>
    <col min="4" max="4" width="21.453125" style="296" customWidth="1"/>
    <col min="5" max="5" width="28.81640625" style="296" customWidth="1"/>
    <col min="6" max="6" width="9.1796875" style="296"/>
    <col min="7" max="7" width="16.81640625" style="296" customWidth="1"/>
    <col min="8" max="16384" width="9.1796875" style="296"/>
  </cols>
  <sheetData>
    <row r="1" spans="2:19" ht="18">
      <c r="B1" s="295" t="s">
        <v>219</v>
      </c>
    </row>
    <row r="2" spans="2:19" ht="18">
      <c r="B2" s="295"/>
    </row>
    <row r="3" spans="2:19" ht="119.5" customHeight="1">
      <c r="B3" s="525" t="s">
        <v>220</v>
      </c>
      <c r="C3" s="525"/>
      <c r="D3" s="525"/>
      <c r="E3" s="525"/>
      <c r="G3" s="297"/>
      <c r="H3" s="297"/>
      <c r="I3" s="297"/>
      <c r="J3" s="297"/>
      <c r="K3" s="297"/>
      <c r="L3" s="297"/>
      <c r="M3" s="297"/>
      <c r="N3" s="297"/>
      <c r="O3" s="297"/>
      <c r="P3" s="297"/>
      <c r="Q3" s="297"/>
      <c r="R3" s="297"/>
      <c r="S3" s="297"/>
    </row>
    <row r="4" spans="2:19" ht="15.5">
      <c r="B4" s="298"/>
    </row>
    <row r="5" spans="2:19" customFormat="1" ht="14.5">
      <c r="B5" t="s">
        <v>221</v>
      </c>
    </row>
    <row r="6" spans="2:19" customFormat="1" ht="48">
      <c r="B6" s="198" t="s">
        <v>54</v>
      </c>
      <c r="C6" s="199" t="s">
        <v>222</v>
      </c>
      <c r="D6" s="199" t="s">
        <v>57</v>
      </c>
      <c r="E6" s="200" t="s">
        <v>58</v>
      </c>
      <c r="H6" s="201" t="s">
        <v>223</v>
      </c>
      <c r="I6" s="201" t="s">
        <v>224</v>
      </c>
    </row>
    <row r="7" spans="2:19" customFormat="1" ht="14.5">
      <c r="B7" s="202" t="s">
        <v>41</v>
      </c>
      <c r="C7" s="203">
        <f>'Tables 2-6'!C39</f>
        <v>3707.7000000000003</v>
      </c>
      <c r="D7" s="203">
        <f>'Tables 2-6'!D39</f>
        <v>3832</v>
      </c>
      <c r="E7" s="204">
        <f>C7/D7</f>
        <v>0.96756263048016711</v>
      </c>
      <c r="G7" s="20" t="s">
        <v>225</v>
      </c>
      <c r="H7" s="299">
        <f>$C$10</f>
        <v>4624.8</v>
      </c>
      <c r="I7" s="299">
        <f>$C$17</f>
        <v>2333.75</v>
      </c>
    </row>
    <row r="8" spans="2:19" customFormat="1" ht="14.5">
      <c r="B8" s="202" t="s">
        <v>42</v>
      </c>
      <c r="C8" s="203">
        <f>'Tables 2-6'!C40</f>
        <v>0</v>
      </c>
      <c r="D8" s="203">
        <f>'Tables 2-6'!D40</f>
        <v>268</v>
      </c>
      <c r="E8" s="204">
        <f t="shared" ref="E8:E9" si="0">C8/D8</f>
        <v>0</v>
      </c>
      <c r="G8" s="20" t="s">
        <v>226</v>
      </c>
      <c r="H8" s="203">
        <f>'Tables 2-6'!$E$4</f>
        <v>61611.030000000006</v>
      </c>
      <c r="I8" s="421">
        <v>14170</v>
      </c>
    </row>
    <row r="9" spans="2:19" customFormat="1" ht="14.5">
      <c r="B9" s="202" t="s">
        <v>43</v>
      </c>
      <c r="C9" s="203">
        <f>'Tables 2-6'!C41</f>
        <v>917.1</v>
      </c>
      <c r="D9" s="203">
        <f>'Tables 2-6'!D41</f>
        <v>4907</v>
      </c>
      <c r="E9" s="204">
        <f t="shared" si="0"/>
        <v>0.18689627063378847</v>
      </c>
      <c r="G9" t="s">
        <v>227</v>
      </c>
    </row>
    <row r="10" spans="2:19" customFormat="1" ht="29">
      <c r="B10" s="205" t="s">
        <v>44</v>
      </c>
      <c r="C10" s="206">
        <f>SUM(C7:C9)</f>
        <v>4624.8</v>
      </c>
      <c r="D10" s="206">
        <f>SUM(D7:D9)</f>
        <v>9007</v>
      </c>
      <c r="E10" s="207">
        <f>C10/D10</f>
        <v>0.51346730320861556</v>
      </c>
    </row>
    <row r="11" spans="2:19" customFormat="1" ht="14.5"/>
    <row r="12" spans="2:19" customFormat="1" ht="14.5">
      <c r="B12" t="s">
        <v>228</v>
      </c>
    </row>
    <row r="13" spans="2:19" customFormat="1" ht="24">
      <c r="B13" s="198" t="s">
        <v>54</v>
      </c>
      <c r="C13" s="199" t="s">
        <v>222</v>
      </c>
      <c r="D13" s="199" t="s">
        <v>57</v>
      </c>
      <c r="E13" s="200" t="s">
        <v>58</v>
      </c>
    </row>
    <row r="14" spans="2:19" customFormat="1" ht="14.5">
      <c r="B14" s="202" t="s">
        <v>41</v>
      </c>
      <c r="C14" s="203">
        <v>1416.65</v>
      </c>
      <c r="D14" s="203">
        <f>'Tables 2-6'!D39</f>
        <v>3832</v>
      </c>
      <c r="E14" s="204">
        <f>C14/D14</f>
        <v>0.36968945720250523</v>
      </c>
    </row>
    <row r="15" spans="2:19" customFormat="1" ht="14.5">
      <c r="B15" s="202" t="s">
        <v>42</v>
      </c>
      <c r="C15" s="203">
        <v>0</v>
      </c>
      <c r="D15" s="203">
        <f>'Tables 2-6'!D40</f>
        <v>268</v>
      </c>
      <c r="E15" s="204">
        <f t="shared" ref="E15:E16" si="1">C15/D15</f>
        <v>0</v>
      </c>
    </row>
    <row r="16" spans="2:19" customFormat="1" ht="14.5">
      <c r="B16" s="202" t="s">
        <v>43</v>
      </c>
      <c r="C16" s="203">
        <f>C9</f>
        <v>917.1</v>
      </c>
      <c r="D16" s="203">
        <f>'Tables 2-6'!D41</f>
        <v>4907</v>
      </c>
      <c r="E16" s="204">
        <f t="shared" si="1"/>
        <v>0.18689627063378847</v>
      </c>
    </row>
    <row r="17" spans="2:7" customFormat="1" ht="29">
      <c r="B17" s="205" t="s">
        <v>44</v>
      </c>
      <c r="C17" s="206">
        <f>SUM(C14:C16)</f>
        <v>2333.75</v>
      </c>
      <c r="D17" s="206">
        <f>SUM(D14:D16)</f>
        <v>9007</v>
      </c>
      <c r="E17" s="207">
        <f>C17/D17</f>
        <v>0.25910403019873429</v>
      </c>
    </row>
    <row r="18" spans="2:7" customFormat="1" ht="19.5" customHeight="1">
      <c r="B18" s="526" t="s">
        <v>229</v>
      </c>
      <c r="C18" s="526"/>
      <c r="D18" s="526"/>
      <c r="G18" t="s">
        <v>230</v>
      </c>
    </row>
    <row r="19" spans="2:7" customFormat="1" ht="27" customHeight="1">
      <c r="B19" s="526"/>
      <c r="C19" s="526"/>
      <c r="D19" s="526"/>
    </row>
    <row r="20" spans="2:7" customFormat="1" ht="14.5">
      <c r="B20" s="300"/>
      <c r="C20" s="224"/>
      <c r="D20" s="224"/>
      <c r="E20" s="224"/>
    </row>
    <row r="21" spans="2:7" customFormat="1" ht="14.5">
      <c r="B21" s="227"/>
      <c r="C21" s="38"/>
      <c r="D21" s="38"/>
      <c r="E21" s="301"/>
    </row>
    <row r="22" spans="2:7" customFormat="1" ht="14.5">
      <c r="B22" s="227"/>
      <c r="C22" s="38"/>
      <c r="D22" s="38"/>
      <c r="E22" s="301"/>
    </row>
    <row r="23" spans="2:7" customFormat="1" ht="14.5">
      <c r="B23" s="227"/>
      <c r="C23" s="38"/>
      <c r="D23" s="38"/>
      <c r="E23" s="301"/>
    </row>
    <row r="24" spans="2:7" customFormat="1" ht="14.5">
      <c r="B24" s="227"/>
      <c r="C24" s="38"/>
      <c r="D24" s="38"/>
      <c r="E24" s="301"/>
    </row>
    <row r="25" spans="2:7" customFormat="1" ht="14.5">
      <c r="B25" s="227"/>
      <c r="C25" s="38"/>
      <c r="D25" s="38"/>
      <c r="E25" s="301"/>
    </row>
    <row r="26" spans="2:7" customFormat="1" ht="14.5">
      <c r="B26" s="227"/>
      <c r="C26" s="38"/>
      <c r="D26" s="38"/>
      <c r="E26" s="301"/>
    </row>
    <row r="27" spans="2:7" customFormat="1" ht="14.5">
      <c r="B27" s="227"/>
      <c r="C27" s="38"/>
      <c r="D27" s="38"/>
      <c r="E27" s="301"/>
    </row>
    <row r="28" spans="2:7" customFormat="1" ht="14.5">
      <c r="B28" s="227"/>
      <c r="C28" s="38"/>
      <c r="D28" s="38"/>
      <c r="E28" s="301"/>
    </row>
    <row r="29" spans="2:7" customFormat="1" ht="14.5">
      <c r="B29" s="227"/>
      <c r="C29" s="38"/>
      <c r="D29" s="38"/>
      <c r="E29" s="301"/>
    </row>
    <row r="30" spans="2:7" customFormat="1" ht="14.5"/>
    <row r="31" spans="2:7" customFormat="1" ht="14.5"/>
  </sheetData>
  <mergeCells count="2">
    <mergeCell ref="B3:E3"/>
    <mergeCell ref="B18:D19"/>
  </mergeCells>
  <pageMargins left="0.45" right="0.4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39997558519241921"/>
  </sheetPr>
  <dimension ref="B1:D8"/>
  <sheetViews>
    <sheetView zoomScaleNormal="100" workbookViewId="0">
      <selection activeCell="D17" sqref="D17"/>
    </sheetView>
  </sheetViews>
  <sheetFormatPr defaultColWidth="9.1796875" defaultRowHeight="14"/>
  <cols>
    <col min="1" max="1" width="4.1796875" style="296" customWidth="1"/>
    <col min="2" max="2" width="29.453125" style="296" customWidth="1"/>
    <col min="3" max="3" width="36.453125" style="296" customWidth="1"/>
    <col min="4" max="4" width="28" style="296" customWidth="1"/>
    <col min="5" max="16384" width="9.1796875" style="296"/>
  </cols>
  <sheetData>
    <row r="1" spans="2:4" ht="18">
      <c r="B1" s="295" t="s">
        <v>231</v>
      </c>
    </row>
    <row r="2" spans="2:4" ht="18">
      <c r="B2" s="295"/>
    </row>
    <row r="3" spans="2:4" ht="97.4" customHeight="1">
      <c r="B3" s="527" t="s">
        <v>232</v>
      </c>
      <c r="C3" s="527"/>
      <c r="D3" s="527"/>
    </row>
    <row r="5" spans="2:4" ht="21" customHeight="1">
      <c r="B5" s="528" t="s">
        <v>233</v>
      </c>
      <c r="C5" s="528"/>
      <c r="D5" s="302"/>
    </row>
    <row r="6" spans="2:4" ht="18" customHeight="1">
      <c r="B6" s="303" t="s">
        <v>99</v>
      </c>
      <c r="C6" s="304" t="s">
        <v>234</v>
      </c>
      <c r="D6" s="305"/>
    </row>
    <row r="7" spans="2:4" ht="35.5" customHeight="1">
      <c r="B7" s="306" t="s">
        <v>108</v>
      </c>
      <c r="C7" s="344">
        <f>4.037*1482</f>
        <v>5982.8339999999998</v>
      </c>
      <c r="D7" s="345" t="s">
        <v>378</v>
      </c>
    </row>
    <row r="8" spans="2:4" ht="18" customHeight="1">
      <c r="B8" s="306" t="s">
        <v>235</v>
      </c>
      <c r="C8" s="344">
        <f>C7</f>
        <v>5982.8339999999998</v>
      </c>
    </row>
  </sheetData>
  <mergeCells count="2">
    <mergeCell ref="B3:D3"/>
    <mergeCell ref="B5:C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17BD-DA6C-4E86-9FA7-F47AE4709F4E}">
  <sheetPr>
    <tabColor theme="4"/>
  </sheetPr>
  <dimension ref="A1:Q49"/>
  <sheetViews>
    <sheetView showGridLines="0" topLeftCell="A12" zoomScale="85" zoomScaleNormal="85" workbookViewId="0">
      <selection activeCell="E53" sqref="E53"/>
    </sheetView>
  </sheetViews>
  <sheetFormatPr defaultRowHeight="14.5"/>
  <cols>
    <col min="2" max="2" width="60.81640625" customWidth="1"/>
    <col min="3" max="3" width="17.26953125" customWidth="1"/>
    <col min="4" max="4" width="13.1796875" customWidth="1"/>
    <col min="5" max="6" width="10.81640625" customWidth="1"/>
    <col min="7" max="7" width="16.08984375" customWidth="1"/>
    <col min="8" max="8" width="13.54296875" style="443" bestFit="1" customWidth="1"/>
    <col min="9" max="9" width="12.1796875" customWidth="1"/>
    <col min="10" max="16" width="15.453125" customWidth="1"/>
  </cols>
  <sheetData>
    <row r="1" spans="1:17">
      <c r="A1" s="311" t="s">
        <v>236</v>
      </c>
    </row>
    <row r="2" spans="1:17" ht="15" thickBot="1">
      <c r="I2" s="444" t="s">
        <v>41</v>
      </c>
      <c r="J2" s="444" t="s">
        <v>41</v>
      </c>
      <c r="K2" s="444" t="s">
        <v>238</v>
      </c>
      <c r="L2" s="444" t="s">
        <v>237</v>
      </c>
      <c r="M2" s="444" t="s">
        <v>237</v>
      </c>
      <c r="N2" s="444"/>
      <c r="O2" s="444" t="s">
        <v>239</v>
      </c>
      <c r="P2" s="444" t="s">
        <v>239</v>
      </c>
    </row>
    <row r="3" spans="1:17" ht="43.5">
      <c r="A3" s="307"/>
      <c r="B3" s="308"/>
      <c r="C3" s="445" t="s">
        <v>41</v>
      </c>
      <c r="D3" s="446" t="s">
        <v>237</v>
      </c>
      <c r="E3" s="446" t="s">
        <v>238</v>
      </c>
      <c r="F3" s="446" t="s">
        <v>239</v>
      </c>
      <c r="G3" s="447" t="s">
        <v>240</v>
      </c>
      <c r="H3"/>
      <c r="I3" s="448" t="s">
        <v>108</v>
      </c>
      <c r="J3" s="448" t="s">
        <v>109</v>
      </c>
      <c r="K3" s="448" t="s">
        <v>110</v>
      </c>
      <c r="L3" s="448" t="s">
        <v>111</v>
      </c>
      <c r="M3" s="448" t="s">
        <v>112</v>
      </c>
      <c r="N3" s="212" t="s">
        <v>113</v>
      </c>
      <c r="O3" s="448" t="s">
        <v>114</v>
      </c>
      <c r="P3" s="448" t="s">
        <v>115</v>
      </c>
      <c r="Q3" s="227"/>
    </row>
    <row r="4" spans="1:17">
      <c r="A4" s="309" t="s">
        <v>241</v>
      </c>
      <c r="B4" s="213"/>
      <c r="C4" s="449"/>
      <c r="D4" s="450"/>
      <c r="E4" s="450"/>
      <c r="F4" s="450"/>
      <c r="G4" s="451"/>
      <c r="I4" s="450"/>
      <c r="J4" s="450"/>
      <c r="K4" s="450"/>
      <c r="L4" s="450"/>
      <c r="M4" s="450"/>
      <c r="N4" s="450"/>
      <c r="O4" s="450"/>
      <c r="P4" s="450"/>
    </row>
    <row r="5" spans="1:17">
      <c r="A5" s="214">
        <v>1</v>
      </c>
      <c r="B5" s="215" t="s">
        <v>242</v>
      </c>
      <c r="C5" s="422">
        <v>1410957.5511979747</v>
      </c>
      <c r="D5" s="423">
        <v>408988.79724162689</v>
      </c>
      <c r="E5" s="423">
        <v>0</v>
      </c>
      <c r="F5" s="423">
        <v>0</v>
      </c>
      <c r="G5" s="424">
        <f>SUM(C5:F5)</f>
        <v>1819946.3484396017</v>
      </c>
      <c r="I5" s="423">
        <v>1410957.5511979747</v>
      </c>
      <c r="J5" s="423">
        <v>0</v>
      </c>
      <c r="K5" s="423">
        <v>0</v>
      </c>
      <c r="L5" s="423">
        <v>0</v>
      </c>
      <c r="M5" s="423">
        <v>408988.79724162689</v>
      </c>
      <c r="N5" s="423">
        <f t="shared" ref="N5:N12" si="0">SUM(I5:M5)</f>
        <v>1819946.3484396017</v>
      </c>
      <c r="O5" s="423">
        <v>0</v>
      </c>
      <c r="P5" s="423">
        <v>0</v>
      </c>
    </row>
    <row r="6" spans="1:17">
      <c r="A6" s="214">
        <v>2</v>
      </c>
      <c r="B6" s="215" t="s">
        <v>243</v>
      </c>
      <c r="C6" s="422">
        <v>385332.01721650636</v>
      </c>
      <c r="D6" s="423">
        <v>110580.48461431972</v>
      </c>
      <c r="E6" s="423">
        <v>0</v>
      </c>
      <c r="F6" s="423">
        <v>59134.268896132067</v>
      </c>
      <c r="G6" s="424">
        <f t="shared" ref="G6:G16" si="1">SUM(C6:F6)</f>
        <v>555046.77072695806</v>
      </c>
      <c r="I6" s="423">
        <v>385332.01721650636</v>
      </c>
      <c r="J6" s="423">
        <v>0</v>
      </c>
      <c r="K6" s="423">
        <v>0</v>
      </c>
      <c r="L6" s="423">
        <v>0</v>
      </c>
      <c r="M6" s="423">
        <v>110580.48461431972</v>
      </c>
      <c r="N6" s="423">
        <f t="shared" si="0"/>
        <v>495912.50183082605</v>
      </c>
      <c r="O6" s="423">
        <v>59134.268896132067</v>
      </c>
      <c r="P6" s="423">
        <v>0</v>
      </c>
    </row>
    <row r="7" spans="1:17">
      <c r="A7" s="214">
        <v>3</v>
      </c>
      <c r="B7" s="215" t="s">
        <v>244</v>
      </c>
      <c r="C7" s="422">
        <v>0</v>
      </c>
      <c r="D7" s="423">
        <v>0</v>
      </c>
      <c r="E7" s="423">
        <v>0</v>
      </c>
      <c r="F7" s="423">
        <v>0</v>
      </c>
      <c r="G7" s="424">
        <f t="shared" si="1"/>
        <v>0</v>
      </c>
      <c r="I7" s="423">
        <v>0</v>
      </c>
      <c r="J7" s="423">
        <v>0</v>
      </c>
      <c r="K7" s="423">
        <v>0</v>
      </c>
      <c r="L7" s="423">
        <v>0</v>
      </c>
      <c r="M7" s="423">
        <v>0</v>
      </c>
      <c r="N7" s="423">
        <f t="shared" si="0"/>
        <v>0</v>
      </c>
      <c r="O7" s="423">
        <v>0</v>
      </c>
      <c r="P7" s="423">
        <v>0</v>
      </c>
    </row>
    <row r="8" spans="1:17">
      <c r="A8" s="214">
        <v>4</v>
      </c>
      <c r="B8" s="215" t="s">
        <v>245</v>
      </c>
      <c r="C8" s="422">
        <f>SUM(C37:C38)</f>
        <v>25814.774304114362</v>
      </c>
      <c r="D8" s="423">
        <f>SUM(D37:D38)</f>
        <v>7482.826743899951</v>
      </c>
      <c r="E8" s="423">
        <f t="shared" ref="E8:F8" si="2">SUM(E37:E38)</f>
        <v>0</v>
      </c>
      <c r="F8" s="423">
        <f t="shared" si="2"/>
        <v>9.7613409115000507E-2</v>
      </c>
      <c r="G8" s="424">
        <f t="shared" si="1"/>
        <v>33297.698661423434</v>
      </c>
      <c r="I8" s="423">
        <f t="shared" ref="I8:P8" si="3">SUM(I37:I38)</f>
        <v>25814.774304114362</v>
      </c>
      <c r="J8" s="423">
        <f t="shared" si="3"/>
        <v>0</v>
      </c>
      <c r="K8" s="423">
        <f t="shared" si="3"/>
        <v>0</v>
      </c>
      <c r="L8" s="423">
        <f t="shared" si="3"/>
        <v>0</v>
      </c>
      <c r="M8" s="423">
        <f t="shared" si="3"/>
        <v>7482.826743899951</v>
      </c>
      <c r="N8" s="423">
        <f t="shared" si="0"/>
        <v>33297.601048014316</v>
      </c>
      <c r="O8" s="423">
        <f t="shared" si="3"/>
        <v>9.7613409115000507E-2</v>
      </c>
      <c r="P8" s="423">
        <f t="shared" si="3"/>
        <v>0</v>
      </c>
    </row>
    <row r="9" spans="1:17">
      <c r="A9" s="214">
        <v>5</v>
      </c>
      <c r="B9" s="215" t="s">
        <v>246</v>
      </c>
      <c r="C9" s="422">
        <v>0</v>
      </c>
      <c r="D9" s="423">
        <v>0</v>
      </c>
      <c r="E9" s="423">
        <v>0</v>
      </c>
      <c r="F9" s="423">
        <v>0</v>
      </c>
      <c r="G9" s="424">
        <f t="shared" si="1"/>
        <v>0</v>
      </c>
      <c r="I9" s="423">
        <v>0</v>
      </c>
      <c r="J9" s="423">
        <v>0</v>
      </c>
      <c r="K9" s="423">
        <v>0</v>
      </c>
      <c r="L9" s="423">
        <v>0</v>
      </c>
      <c r="M9" s="423">
        <v>0</v>
      </c>
      <c r="N9" s="423">
        <f t="shared" si="0"/>
        <v>0</v>
      </c>
      <c r="O9" s="423">
        <v>0</v>
      </c>
      <c r="P9" s="423">
        <v>0</v>
      </c>
    </row>
    <row r="10" spans="1:17">
      <c r="A10" s="214">
        <v>6</v>
      </c>
      <c r="B10" s="215" t="s">
        <v>247</v>
      </c>
      <c r="C10" s="422">
        <v>0</v>
      </c>
      <c r="D10" s="423">
        <v>0</v>
      </c>
      <c r="E10" s="423">
        <v>0</v>
      </c>
      <c r="F10" s="423">
        <v>0</v>
      </c>
      <c r="G10" s="424">
        <f t="shared" si="1"/>
        <v>0</v>
      </c>
      <c r="I10" s="423">
        <v>0</v>
      </c>
      <c r="J10" s="423">
        <v>0</v>
      </c>
      <c r="K10" s="423">
        <v>0</v>
      </c>
      <c r="L10" s="423">
        <v>0</v>
      </c>
      <c r="M10" s="423">
        <v>0</v>
      </c>
      <c r="N10" s="423">
        <f t="shared" si="0"/>
        <v>0</v>
      </c>
      <c r="O10" s="423">
        <v>0</v>
      </c>
      <c r="P10" s="423">
        <v>0</v>
      </c>
    </row>
    <row r="11" spans="1:17">
      <c r="A11" s="214">
        <v>7</v>
      </c>
      <c r="B11" s="215" t="s">
        <v>248</v>
      </c>
      <c r="C11" s="422">
        <v>0</v>
      </c>
      <c r="D11" s="423">
        <v>0</v>
      </c>
      <c r="E11" s="423">
        <v>0</v>
      </c>
      <c r="F11" s="423">
        <v>0</v>
      </c>
      <c r="G11" s="424">
        <f t="shared" si="1"/>
        <v>0</v>
      </c>
      <c r="I11" s="423">
        <v>0</v>
      </c>
      <c r="J11" s="423">
        <v>0</v>
      </c>
      <c r="K11" s="423">
        <v>0</v>
      </c>
      <c r="L11" s="423">
        <v>0</v>
      </c>
      <c r="M11" s="423">
        <v>0</v>
      </c>
      <c r="N11" s="423">
        <f t="shared" si="0"/>
        <v>0</v>
      </c>
      <c r="O11" s="423">
        <v>0</v>
      </c>
      <c r="P11" s="423">
        <v>0</v>
      </c>
    </row>
    <row r="12" spans="1:17">
      <c r="A12" s="214">
        <v>8</v>
      </c>
      <c r="B12" s="215" t="s">
        <v>249</v>
      </c>
      <c r="C12" s="422">
        <v>359708.11107913172</v>
      </c>
      <c r="D12" s="423">
        <v>106034.39081099138</v>
      </c>
      <c r="E12" s="423">
        <v>0</v>
      </c>
      <c r="F12" s="423">
        <v>56703.189539492625</v>
      </c>
      <c r="G12" s="424">
        <f t="shared" si="1"/>
        <v>522445.69142961572</v>
      </c>
      <c r="I12" s="423">
        <v>359708.11107913172</v>
      </c>
      <c r="J12" s="423">
        <v>0</v>
      </c>
      <c r="K12" s="423">
        <v>0</v>
      </c>
      <c r="L12" s="423">
        <v>0</v>
      </c>
      <c r="M12" s="423">
        <v>106034.39081099138</v>
      </c>
      <c r="N12" s="423">
        <f t="shared" si="0"/>
        <v>465742.50189012312</v>
      </c>
      <c r="O12" s="423">
        <v>56703.189539492625</v>
      </c>
      <c r="P12" s="423">
        <v>0</v>
      </c>
    </row>
    <row r="13" spans="1:17">
      <c r="A13" s="214"/>
      <c r="B13" s="216" t="s">
        <v>250</v>
      </c>
      <c r="C13" s="437">
        <f>SUM(C5:C12)</f>
        <v>2181812.4537977269</v>
      </c>
      <c r="D13" s="438">
        <f>SUM(D5:D12)</f>
        <v>633086.49941083801</v>
      </c>
      <c r="E13" s="438">
        <f>SUM(E5:E12)</f>
        <v>0</v>
      </c>
      <c r="F13" s="438">
        <f>SUM(F5:F12)</f>
        <v>115837.55604903381</v>
      </c>
      <c r="G13" s="439">
        <f>SUM(G5:G12)</f>
        <v>2930736.5092575988</v>
      </c>
      <c r="H13" s="452"/>
      <c r="I13" s="438">
        <f>SUM(I5:I12)</f>
        <v>2181812.4537977269</v>
      </c>
      <c r="J13" s="438">
        <f t="shared" ref="J13:P13" si="4">SUM(J5:J12)</f>
        <v>0</v>
      </c>
      <c r="K13" s="438">
        <f t="shared" si="4"/>
        <v>0</v>
      </c>
      <c r="L13" s="438">
        <f t="shared" si="4"/>
        <v>0</v>
      </c>
      <c r="M13" s="438">
        <f t="shared" si="4"/>
        <v>633086.49941083801</v>
      </c>
      <c r="N13" s="438">
        <f t="shared" si="4"/>
        <v>2814898.9532085648</v>
      </c>
      <c r="O13" s="438">
        <f t="shared" si="4"/>
        <v>115837.55604903381</v>
      </c>
      <c r="P13" s="438">
        <f t="shared" si="4"/>
        <v>0</v>
      </c>
    </row>
    <row r="14" spans="1:17">
      <c r="A14" s="214">
        <v>9</v>
      </c>
      <c r="B14" s="215" t="s">
        <v>251</v>
      </c>
      <c r="C14" s="422">
        <v>459108.57728099212</v>
      </c>
      <c r="D14" s="423">
        <v>472584.11205818434</v>
      </c>
      <c r="E14" s="423">
        <v>0</v>
      </c>
      <c r="F14" s="423">
        <v>0</v>
      </c>
      <c r="G14" s="424">
        <f t="shared" si="1"/>
        <v>931692.68933917652</v>
      </c>
      <c r="I14" s="423">
        <v>459108.57728099212</v>
      </c>
      <c r="J14" s="423">
        <v>0</v>
      </c>
      <c r="K14" s="423">
        <v>0</v>
      </c>
      <c r="L14" s="423">
        <v>0</v>
      </c>
      <c r="M14" s="423">
        <v>472584.11205818434</v>
      </c>
      <c r="N14" s="423">
        <f>SUM(I14:M14)</f>
        <v>931692.68933917652</v>
      </c>
      <c r="O14" s="423">
        <v>0</v>
      </c>
      <c r="P14" s="423">
        <v>0</v>
      </c>
    </row>
    <row r="15" spans="1:17">
      <c r="A15" s="214">
        <v>10</v>
      </c>
      <c r="B15" s="215" t="s">
        <v>252</v>
      </c>
      <c r="C15" s="422">
        <v>631432.32999999996</v>
      </c>
      <c r="D15" s="423">
        <v>493584.68</v>
      </c>
      <c r="E15" s="423">
        <v>86331</v>
      </c>
      <c r="F15" s="423">
        <v>137075</v>
      </c>
      <c r="G15" s="424">
        <f t="shared" si="1"/>
        <v>1348423.01</v>
      </c>
      <c r="I15" s="423">
        <f>I46</f>
        <v>446723.28</v>
      </c>
      <c r="J15" s="423">
        <f t="shared" ref="J15:P15" si="5">J46</f>
        <v>184709.05</v>
      </c>
      <c r="K15" s="423">
        <f t="shared" si="5"/>
        <v>86331</v>
      </c>
      <c r="L15" s="423">
        <f t="shared" si="5"/>
        <v>266787</v>
      </c>
      <c r="M15" s="423">
        <f t="shared" si="5"/>
        <v>226797.68</v>
      </c>
      <c r="N15" s="423">
        <f t="shared" si="5"/>
        <v>1211348.01</v>
      </c>
      <c r="O15" s="423">
        <f t="shared" si="5"/>
        <v>50967</v>
      </c>
      <c r="P15" s="423">
        <f t="shared" si="5"/>
        <v>86108</v>
      </c>
    </row>
    <row r="16" spans="1:17">
      <c r="A16" s="214">
        <v>11</v>
      </c>
      <c r="B16" s="215" t="s">
        <v>253</v>
      </c>
      <c r="C16" s="422">
        <v>0</v>
      </c>
      <c r="D16" s="423">
        <v>0</v>
      </c>
      <c r="E16" s="423">
        <v>0</v>
      </c>
      <c r="F16" s="423">
        <v>0</v>
      </c>
      <c r="G16" s="424">
        <f t="shared" si="1"/>
        <v>0</v>
      </c>
      <c r="I16" s="423">
        <v>0</v>
      </c>
      <c r="J16" s="423">
        <v>0</v>
      </c>
      <c r="K16" s="423">
        <v>0</v>
      </c>
      <c r="L16" s="423">
        <v>0</v>
      </c>
      <c r="M16" s="423">
        <v>0</v>
      </c>
      <c r="N16" s="423">
        <f>SUM(I16:M16)</f>
        <v>0</v>
      </c>
      <c r="O16" s="423">
        <v>0</v>
      </c>
      <c r="P16" s="423">
        <v>0</v>
      </c>
    </row>
    <row r="17" spans="1:16">
      <c r="A17" s="214"/>
      <c r="B17" s="215" t="s">
        <v>254</v>
      </c>
      <c r="C17" s="422">
        <f t="shared" ref="C17:F17" si="6">SUM(C14:C16)</f>
        <v>1090540.907280992</v>
      </c>
      <c r="D17" s="423">
        <f t="shared" si="6"/>
        <v>966168.79205818428</v>
      </c>
      <c r="E17" s="423">
        <f t="shared" si="6"/>
        <v>86331</v>
      </c>
      <c r="F17" s="423">
        <f t="shared" si="6"/>
        <v>137075</v>
      </c>
      <c r="G17" s="424">
        <f>SUM(G14:G16)</f>
        <v>2280115.6993391765</v>
      </c>
      <c r="I17" s="423">
        <f t="shared" ref="I17:M17" si="7">SUM(I14:I16)</f>
        <v>905831.8572809922</v>
      </c>
      <c r="J17" s="423">
        <f t="shared" si="7"/>
        <v>184709.05</v>
      </c>
      <c r="K17" s="423">
        <f t="shared" si="7"/>
        <v>86331</v>
      </c>
      <c r="L17" s="423">
        <f t="shared" si="7"/>
        <v>266787</v>
      </c>
      <c r="M17" s="423">
        <f t="shared" si="7"/>
        <v>699381.79205818428</v>
      </c>
      <c r="N17" s="423">
        <f>SUM(I17:M17)</f>
        <v>2143040.6993391765</v>
      </c>
      <c r="O17" s="423">
        <f t="shared" ref="O17:P17" si="8">SUM(O14:O16)</f>
        <v>50967</v>
      </c>
      <c r="P17" s="423">
        <f t="shared" si="8"/>
        <v>86108</v>
      </c>
    </row>
    <row r="18" spans="1:16">
      <c r="A18" s="214"/>
      <c r="B18" s="216" t="s">
        <v>255</v>
      </c>
      <c r="C18" s="440">
        <f>C13/C17</f>
        <v>2.0006699787517044</v>
      </c>
      <c r="D18" s="441">
        <f>D13/D17</f>
        <v>0.65525455242888087</v>
      </c>
      <c r="E18" s="441">
        <f>E13/E17</f>
        <v>0</v>
      </c>
      <c r="F18" s="441">
        <f>F13/F17</f>
        <v>0.84506697828950439</v>
      </c>
      <c r="G18" s="442">
        <f>G13/G17</f>
        <v>1.2853455243990404</v>
      </c>
      <c r="H18" s="453"/>
      <c r="I18" s="441">
        <f>IFERROR(I13/I17,"n/a")</f>
        <v>2.40862852886054</v>
      </c>
      <c r="J18" s="441">
        <f t="shared" ref="J18:P18" si="9">IFERROR(J13/J17,"n/a")</f>
        <v>0</v>
      </c>
      <c r="K18" s="441">
        <f t="shared" si="9"/>
        <v>0</v>
      </c>
      <c r="L18" s="441">
        <f t="shared" si="9"/>
        <v>0</v>
      </c>
      <c r="M18" s="441">
        <f t="shared" si="9"/>
        <v>0.90520872376124006</v>
      </c>
      <c r="N18" s="441">
        <f t="shared" si="9"/>
        <v>1.3135069968930413</v>
      </c>
      <c r="O18" s="441">
        <f t="shared" si="9"/>
        <v>2.2727952606399007</v>
      </c>
      <c r="P18" s="441">
        <f t="shared" si="9"/>
        <v>0</v>
      </c>
    </row>
    <row r="19" spans="1:16">
      <c r="A19" s="214"/>
      <c r="B19" s="215"/>
      <c r="C19" s="422"/>
      <c r="D19" s="423"/>
      <c r="E19" s="423"/>
      <c r="F19" s="423"/>
      <c r="G19" s="424"/>
      <c r="I19" s="423"/>
      <c r="J19" s="423"/>
      <c r="K19" s="423"/>
      <c r="L19" s="423"/>
      <c r="M19" s="423"/>
      <c r="N19" s="423"/>
      <c r="O19" s="423"/>
      <c r="P19" s="423"/>
    </row>
    <row r="20" spans="1:16">
      <c r="A20" s="309" t="s">
        <v>256</v>
      </c>
      <c r="B20" s="213"/>
      <c r="C20" s="454"/>
      <c r="D20" s="455"/>
      <c r="E20" s="455"/>
      <c r="F20" s="455"/>
      <c r="G20" s="456"/>
      <c r="I20" s="455"/>
      <c r="J20" s="455"/>
      <c r="K20" s="455"/>
      <c r="L20" s="455"/>
      <c r="M20" s="455"/>
      <c r="N20" s="455"/>
      <c r="O20" s="455"/>
      <c r="P20" s="455"/>
    </row>
    <row r="21" spans="1:16">
      <c r="A21" s="214">
        <v>12</v>
      </c>
      <c r="B21" s="215" t="s">
        <v>257</v>
      </c>
      <c r="C21" s="422">
        <v>2618831.8834070121</v>
      </c>
      <c r="D21" s="423">
        <v>759110.64883792063</v>
      </c>
      <c r="E21" s="423">
        <v>0</v>
      </c>
      <c r="F21" s="423">
        <v>0</v>
      </c>
      <c r="G21" s="424">
        <f>SUM(C21:F21)</f>
        <v>3377942.5322449328</v>
      </c>
      <c r="I21" s="423">
        <v>2618831.8834070121</v>
      </c>
      <c r="J21" s="423">
        <v>0</v>
      </c>
      <c r="K21" s="423">
        <v>0</v>
      </c>
      <c r="L21" s="423">
        <v>0</v>
      </c>
      <c r="M21" s="423">
        <v>759110.64883792063</v>
      </c>
      <c r="N21" s="423">
        <f>SUM(I21:M21)</f>
        <v>3377942.5322449328</v>
      </c>
      <c r="O21" s="423">
        <v>0</v>
      </c>
      <c r="P21" s="423">
        <v>0</v>
      </c>
    </row>
    <row r="22" spans="1:16">
      <c r="A22" s="214">
        <v>13</v>
      </c>
      <c r="B22" s="215" t="s">
        <v>258</v>
      </c>
      <c r="C22" s="422">
        <v>283001.77440000011</v>
      </c>
      <c r="D22" s="423">
        <v>440166.02640000015</v>
      </c>
      <c r="E22" s="423">
        <v>0</v>
      </c>
      <c r="F22" s="423">
        <v>70660.5</v>
      </c>
      <c r="G22" s="424">
        <f>SUM(C22:F22)</f>
        <v>793828.30080000032</v>
      </c>
      <c r="I22" s="423">
        <v>283001.77440000011</v>
      </c>
      <c r="J22" s="423">
        <v>0</v>
      </c>
      <c r="K22" s="423">
        <v>0</v>
      </c>
      <c r="L22" s="423">
        <v>0</v>
      </c>
      <c r="M22" s="423">
        <v>440166.02640000015</v>
      </c>
      <c r="N22" s="423">
        <f>SUM(I22:M22)</f>
        <v>723167.80080000032</v>
      </c>
      <c r="O22" s="423">
        <v>70660.5</v>
      </c>
      <c r="P22" s="423">
        <v>0</v>
      </c>
    </row>
    <row r="23" spans="1:16">
      <c r="A23" s="214"/>
      <c r="B23" s="216" t="s">
        <v>259</v>
      </c>
      <c r="C23" s="440">
        <f>IFERROR((C21+C22)/C14,"n/a")</f>
        <v>6.3205825406110376</v>
      </c>
      <c r="D23" s="441">
        <f>IFERROR((D21+D22)/D14,"n/a")</f>
        <v>2.537699945126946</v>
      </c>
      <c r="E23" s="441" t="str">
        <f>IFERROR((E21+E22)/E14,"n/a")</f>
        <v>n/a</v>
      </c>
      <c r="F23" s="441" t="str">
        <f>IFERROR((F21+F22)/F14,"n/a")</f>
        <v>n/a</v>
      </c>
      <c r="G23" s="442">
        <f>IFERROR((G21+G22)/G14,"n/a")</f>
        <v>4.4776253809653195</v>
      </c>
      <c r="H23" s="453"/>
      <c r="I23" s="441">
        <f>IFERROR((I21+I22)/I14,"n/a")</f>
        <v>6.3205825406110376</v>
      </c>
      <c r="J23" s="441" t="str">
        <f t="shared" ref="J23:P23" si="10">IFERROR((J21+J22)/J14,"n/a")</f>
        <v>n/a</v>
      </c>
      <c r="K23" s="441" t="str">
        <f t="shared" si="10"/>
        <v>n/a</v>
      </c>
      <c r="L23" s="441" t="str">
        <f t="shared" si="10"/>
        <v>n/a</v>
      </c>
      <c r="M23" s="441">
        <f t="shared" si="10"/>
        <v>2.537699945126946</v>
      </c>
      <c r="N23" s="441">
        <f t="shared" si="10"/>
        <v>4.4017843866025563</v>
      </c>
      <c r="O23" s="441" t="str">
        <f t="shared" si="10"/>
        <v>n/a</v>
      </c>
      <c r="P23" s="441" t="str">
        <f t="shared" si="10"/>
        <v>n/a</v>
      </c>
    </row>
    <row r="24" spans="1:16">
      <c r="A24" s="214"/>
      <c r="B24" s="215"/>
      <c r="C24" s="422"/>
      <c r="D24" s="423"/>
      <c r="E24" s="423"/>
      <c r="F24" s="423"/>
      <c r="G24" s="424"/>
      <c r="I24" s="423"/>
      <c r="J24" s="423"/>
      <c r="K24" s="423"/>
      <c r="L24" s="423"/>
      <c r="M24" s="423"/>
      <c r="N24" s="423"/>
      <c r="O24" s="423"/>
      <c r="P24" s="423"/>
    </row>
    <row r="25" spans="1:16">
      <c r="A25" s="309" t="s">
        <v>260</v>
      </c>
      <c r="B25" s="213"/>
      <c r="C25" s="454"/>
      <c r="D25" s="455"/>
      <c r="E25" s="455"/>
      <c r="F25" s="455"/>
      <c r="G25" s="456"/>
      <c r="I25" s="455"/>
      <c r="J25" s="455"/>
      <c r="K25" s="455"/>
      <c r="L25" s="455"/>
      <c r="M25" s="455"/>
      <c r="N25" s="455"/>
      <c r="O25" s="455"/>
      <c r="P25" s="455"/>
    </row>
    <row r="26" spans="1:16">
      <c r="A26" s="214"/>
      <c r="B26" s="216" t="s">
        <v>261</v>
      </c>
      <c r="C26" s="440">
        <f>SUM(C5,C6,C7,C8,C9,C10,C11,C12,C29)/SUM(C15,C16,C22)</f>
        <v>2.3859701243637548</v>
      </c>
      <c r="D26" s="441">
        <f>SUM(D5,D6,D7,D8,D9,D10,D11,D12,D29)/SUM(D15,D16,D22)</f>
        <v>0.67800377024789782</v>
      </c>
      <c r="E26" s="441">
        <f>SUM(E5,E6,E7,E8,E9,E10,E11,E12,E29)/SUM(E15,E16,E22)</f>
        <v>0</v>
      </c>
      <c r="F26" s="441">
        <f>SUM(F5,F6,F7,F8,F9,F10,F11,F12,F29)/SUM(F15,F16,F22)</f>
        <v>0.55762041658278827</v>
      </c>
      <c r="G26" s="442">
        <f>SUM(G5,G6,G7,G8,G9,G10,G11,G12,G29)/SUM(G15,G16,G22)</f>
        <v>1.3680638188818042</v>
      </c>
      <c r="H26" s="457"/>
      <c r="I26" s="441">
        <f>IFERROR(SUM(I5,I6,I7,I8,I9,I10,I11,I12,I29)/SUM(I15,I16,I22),"n/a")</f>
        <v>2.9899102965454198</v>
      </c>
      <c r="J26" s="441">
        <f t="shared" ref="J26:P26" si="11">IFERROR(SUM(J5,J6,J7,J8,J9,J10,J11,J12,J29)/SUM(J15,J16,J22),"n/a")</f>
        <v>0</v>
      </c>
      <c r="K26" s="441">
        <f t="shared" si="11"/>
        <v>0</v>
      </c>
      <c r="L26" s="441">
        <f t="shared" si="11"/>
        <v>0</v>
      </c>
      <c r="M26" s="441">
        <f t="shared" si="11"/>
        <v>0.94920682090481723</v>
      </c>
      <c r="N26" s="441">
        <f>IFERROR(SUM(N5,N6,N7,N8,N9,N10,N11,N12,N29)/SUM(N15,N16,N22),"n/a")</f>
        <v>1.4550922445262882</v>
      </c>
      <c r="O26" s="441">
        <f t="shared" si="11"/>
        <v>0.95239609503635125</v>
      </c>
      <c r="P26" s="441">
        <f t="shared" si="11"/>
        <v>0</v>
      </c>
    </row>
    <row r="27" spans="1:16">
      <c r="A27" s="214"/>
      <c r="B27" s="215"/>
      <c r="C27" s="422"/>
      <c r="D27" s="423"/>
      <c r="E27" s="423"/>
      <c r="F27" s="423"/>
      <c r="G27" s="424"/>
      <c r="I27" s="423"/>
      <c r="J27" s="423"/>
      <c r="K27" s="423"/>
      <c r="L27" s="423"/>
      <c r="M27" s="423"/>
      <c r="O27" s="423"/>
      <c r="P27" s="423"/>
    </row>
    <row r="28" spans="1:16">
      <c r="A28" s="309" t="s">
        <v>262</v>
      </c>
      <c r="B28" s="213"/>
      <c r="C28" s="454"/>
      <c r="D28" s="455"/>
      <c r="E28" s="455"/>
      <c r="F28" s="455"/>
      <c r="G28" s="456"/>
      <c r="I28" s="455"/>
      <c r="J28" s="455"/>
      <c r="K28" s="455"/>
      <c r="L28" s="455"/>
      <c r="M28" s="455"/>
      <c r="N28" s="455"/>
      <c r="O28" s="455"/>
      <c r="P28" s="455"/>
    </row>
    <row r="29" spans="1:16">
      <c r="A29" s="214">
        <v>14</v>
      </c>
      <c r="B29" s="215" t="s">
        <v>263</v>
      </c>
      <c r="C29" s="422">
        <v>0</v>
      </c>
      <c r="D29" s="423">
        <v>0</v>
      </c>
      <c r="E29" s="423">
        <v>0</v>
      </c>
      <c r="F29" s="423">
        <v>0</v>
      </c>
      <c r="G29" s="424">
        <f>SUM(C29:F29)</f>
        <v>0</v>
      </c>
      <c r="I29" s="423">
        <v>0</v>
      </c>
      <c r="J29" s="423">
        <v>0</v>
      </c>
      <c r="K29" s="423">
        <v>0</v>
      </c>
      <c r="L29" s="423">
        <v>0</v>
      </c>
      <c r="M29" s="423">
        <v>0</v>
      </c>
      <c r="N29" s="423">
        <f>SUM(I29:M29)</f>
        <v>0</v>
      </c>
      <c r="O29" s="423">
        <v>0</v>
      </c>
      <c r="P29" s="423">
        <v>0</v>
      </c>
    </row>
    <row r="30" spans="1:16">
      <c r="A30" s="214">
        <v>15</v>
      </c>
      <c r="B30" s="215" t="s">
        <v>264</v>
      </c>
      <c r="C30" s="422">
        <v>1410957.5511979747</v>
      </c>
      <c r="D30" s="423">
        <v>408988.79724162689</v>
      </c>
      <c r="E30" s="423">
        <v>0</v>
      </c>
      <c r="F30" s="423">
        <v>0</v>
      </c>
      <c r="G30" s="424">
        <f>SUM(C30:F30)</f>
        <v>1819946.3484396017</v>
      </c>
      <c r="I30" s="423">
        <v>1410957.5511979747</v>
      </c>
      <c r="J30" s="423">
        <v>0</v>
      </c>
      <c r="K30" s="423">
        <v>0</v>
      </c>
      <c r="L30" s="423">
        <v>0</v>
      </c>
      <c r="M30" s="423">
        <v>408988.79724162689</v>
      </c>
      <c r="N30" s="423">
        <f>SUM(I30:M30)</f>
        <v>1819946.3484396017</v>
      </c>
      <c r="O30" s="423">
        <v>0</v>
      </c>
      <c r="P30" s="423">
        <v>0</v>
      </c>
    </row>
    <row r="31" spans="1:16">
      <c r="A31" s="214"/>
      <c r="B31" s="216" t="s">
        <v>265</v>
      </c>
      <c r="C31" s="440">
        <f>SUM(C5,C6,C7,C8,C9,C10,C11,C12,C29)/SUM(C15,C16,C22,C30)</f>
        <v>0.93825590564298889</v>
      </c>
      <c r="D31" s="441">
        <f>SUM(D5,D6,D7,D8,D9,D10,D11,D12,D29)/SUM(D15,D16,D22,D30)</f>
        <v>0.47148869731906451</v>
      </c>
      <c r="E31" s="441">
        <f>SUM(E5,E6,E7,E8,E9,E10,E11,E12,E29)/SUM(E15,E16,E22,E30)</f>
        <v>0</v>
      </c>
      <c r="F31" s="441">
        <f>SUM(F5,F6,F7,F8,F9,F10,F11,F12,F29)/SUM(F15,F16,F22,F30)</f>
        <v>0.55762041658278827</v>
      </c>
      <c r="G31" s="442">
        <f>SUM(G5,G6,G7,G8,G9,G10,G11,G12,G29)/SUM(G15,G16,G22,G30)</f>
        <v>0.7396744840387508</v>
      </c>
      <c r="H31" s="457"/>
      <c r="I31" s="441">
        <f>IFERROR(SUM(I5,I6,I7,I8,I9,I10,I11,I12,I29)/SUM(I15,I16,I22,I30),"n/a")</f>
        <v>1.0192134266388655</v>
      </c>
      <c r="J31" s="441">
        <f t="shared" ref="J31:P31" si="12">IFERROR(SUM(J5,J6,J7,J8,J9,J10,J11,J12,J29)/SUM(J15,J16,J22,J30),"n/a")</f>
        <v>0</v>
      </c>
      <c r="K31" s="441">
        <f t="shared" si="12"/>
        <v>0</v>
      </c>
      <c r="L31" s="441">
        <f t="shared" si="12"/>
        <v>0</v>
      </c>
      <c r="M31" s="441">
        <f t="shared" si="12"/>
        <v>0.58839632536577413</v>
      </c>
      <c r="N31" s="441">
        <f t="shared" si="12"/>
        <v>0.74974758935342978</v>
      </c>
      <c r="O31" s="441">
        <f t="shared" si="12"/>
        <v>0.95239609503635125</v>
      </c>
      <c r="P31" s="441">
        <f t="shared" si="12"/>
        <v>0</v>
      </c>
    </row>
    <row r="32" spans="1:16">
      <c r="A32" s="214"/>
      <c r="B32" s="215"/>
      <c r="C32" s="422"/>
      <c r="D32" s="423"/>
      <c r="E32" s="423"/>
      <c r="F32" s="423"/>
      <c r="G32" s="424"/>
      <c r="I32" s="423"/>
      <c r="J32" s="423"/>
      <c r="K32" s="423"/>
      <c r="L32" s="423"/>
      <c r="M32" s="423"/>
      <c r="N32" s="423"/>
      <c r="O32" s="423"/>
      <c r="P32" s="423"/>
    </row>
    <row r="33" spans="1:16">
      <c r="A33" s="309" t="s">
        <v>266</v>
      </c>
      <c r="B33" s="213"/>
      <c r="C33" s="454"/>
      <c r="D33" s="455"/>
      <c r="E33" s="455"/>
      <c r="F33" s="455"/>
      <c r="G33" s="456"/>
      <c r="I33" s="455"/>
      <c r="J33" s="455"/>
      <c r="K33" s="455"/>
      <c r="L33" s="455"/>
      <c r="M33" s="455"/>
      <c r="N33" s="455"/>
      <c r="O33" s="455"/>
      <c r="P33" s="455"/>
    </row>
    <row r="34" spans="1:16">
      <c r="A34" s="214">
        <v>16</v>
      </c>
      <c r="B34" s="215" t="s">
        <v>242</v>
      </c>
      <c r="C34" s="422">
        <v>1410957.5511979747</v>
      </c>
      <c r="D34" s="423">
        <v>408988.79724162689</v>
      </c>
      <c r="E34" s="423">
        <v>0</v>
      </c>
      <c r="F34" s="423">
        <v>0</v>
      </c>
      <c r="G34" s="424">
        <f>SUM(C34:F34)</f>
        <v>1819946.3484396017</v>
      </c>
      <c r="I34" s="423">
        <v>1410957.5511979747</v>
      </c>
      <c r="J34" s="423">
        <v>0</v>
      </c>
      <c r="K34" s="423">
        <v>0</v>
      </c>
      <c r="L34" s="423">
        <v>0</v>
      </c>
      <c r="M34" s="423">
        <v>408988.79724162689</v>
      </c>
      <c r="N34" s="423">
        <f t="shared" ref="N34:N43" si="13">SUM(I34:M34)</f>
        <v>1819946.3484396017</v>
      </c>
      <c r="O34" s="423">
        <v>0</v>
      </c>
      <c r="P34" s="423">
        <v>0</v>
      </c>
    </row>
    <row r="35" spans="1:16">
      <c r="A35" s="214">
        <v>17</v>
      </c>
      <c r="B35" s="215" t="s">
        <v>243</v>
      </c>
      <c r="C35" s="422">
        <v>385332.01721650636</v>
      </c>
      <c r="D35" s="423">
        <v>110580.48461431972</v>
      </c>
      <c r="E35" s="423">
        <v>0</v>
      </c>
      <c r="F35" s="423">
        <v>59134.268896132067</v>
      </c>
      <c r="G35" s="424">
        <f t="shared" ref="G35:G38" si="14">SUM(C35:F35)</f>
        <v>555046.77072695806</v>
      </c>
      <c r="I35" s="423">
        <v>385332.01721650636</v>
      </c>
      <c r="J35" s="423">
        <v>0</v>
      </c>
      <c r="K35" s="423">
        <v>0</v>
      </c>
      <c r="L35" s="423">
        <v>0</v>
      </c>
      <c r="M35" s="423">
        <v>110580.48461431972</v>
      </c>
      <c r="N35" s="423">
        <f t="shared" si="13"/>
        <v>495912.50183082605</v>
      </c>
      <c r="O35" s="423">
        <v>59134.268896132067</v>
      </c>
      <c r="P35" s="423">
        <v>0</v>
      </c>
    </row>
    <row r="36" spans="1:16">
      <c r="A36" s="214">
        <v>18</v>
      </c>
      <c r="B36" s="215" t="s">
        <v>244</v>
      </c>
      <c r="C36" s="422">
        <v>0</v>
      </c>
      <c r="D36" s="423">
        <v>0</v>
      </c>
      <c r="E36" s="423">
        <v>0</v>
      </c>
      <c r="F36" s="423">
        <v>0</v>
      </c>
      <c r="G36" s="424">
        <f t="shared" si="14"/>
        <v>0</v>
      </c>
      <c r="I36" s="423">
        <v>0</v>
      </c>
      <c r="J36" s="423">
        <v>0</v>
      </c>
      <c r="K36" s="423">
        <v>0</v>
      </c>
      <c r="L36" s="423">
        <v>0</v>
      </c>
      <c r="M36" s="423">
        <v>0</v>
      </c>
      <c r="N36" s="423">
        <f t="shared" si="13"/>
        <v>0</v>
      </c>
      <c r="O36" s="423">
        <v>0</v>
      </c>
      <c r="P36" s="423">
        <v>0</v>
      </c>
    </row>
    <row r="37" spans="1:16">
      <c r="A37" s="214">
        <v>19</v>
      </c>
      <c r="B37" s="215" t="s">
        <v>267</v>
      </c>
      <c r="C37" s="422">
        <v>25814.138233481481</v>
      </c>
      <c r="D37" s="423">
        <v>7482.6442078123946</v>
      </c>
      <c r="E37" s="423">
        <v>0</v>
      </c>
      <c r="F37" s="423">
        <v>0</v>
      </c>
      <c r="G37" s="424">
        <f t="shared" si="14"/>
        <v>33296.782441293879</v>
      </c>
      <c r="I37" s="423">
        <v>25814.138233481481</v>
      </c>
      <c r="J37" s="423">
        <v>0</v>
      </c>
      <c r="K37" s="423">
        <v>0</v>
      </c>
      <c r="L37" s="423">
        <v>0</v>
      </c>
      <c r="M37" s="423">
        <v>7482.6442078123946</v>
      </c>
      <c r="N37" s="423">
        <f t="shared" si="13"/>
        <v>33296.782441293879</v>
      </c>
      <c r="O37" s="423">
        <v>0</v>
      </c>
      <c r="P37" s="423">
        <v>0</v>
      </c>
    </row>
    <row r="38" spans="1:16">
      <c r="A38" s="214">
        <v>20</v>
      </c>
      <c r="B38" s="215" t="s">
        <v>268</v>
      </c>
      <c r="C38" s="422">
        <v>0.63607063288007526</v>
      </c>
      <c r="D38" s="423">
        <v>0.18253608755613865</v>
      </c>
      <c r="E38" s="423">
        <v>0</v>
      </c>
      <c r="F38" s="423">
        <v>9.7613409115000507E-2</v>
      </c>
      <c r="G38" s="424">
        <f t="shared" si="14"/>
        <v>0.91622012955121446</v>
      </c>
      <c r="I38" s="423">
        <v>0.63607063288007526</v>
      </c>
      <c r="J38" s="423">
        <v>0</v>
      </c>
      <c r="K38" s="423">
        <v>0</v>
      </c>
      <c r="L38" s="423">
        <v>0</v>
      </c>
      <c r="M38" s="423">
        <v>0.18253608755613865</v>
      </c>
      <c r="N38" s="423">
        <f t="shared" si="13"/>
        <v>0.81860672043621396</v>
      </c>
      <c r="O38" s="423">
        <v>9.7613409115000507E-2</v>
      </c>
      <c r="P38" s="423">
        <v>0</v>
      </c>
    </row>
    <row r="39" spans="1:16">
      <c r="A39" s="214">
        <v>21</v>
      </c>
      <c r="B39" s="215" t="s">
        <v>269</v>
      </c>
      <c r="C39" s="422">
        <v>0</v>
      </c>
      <c r="D39" s="423">
        <v>0</v>
      </c>
      <c r="E39" s="423">
        <v>0</v>
      </c>
      <c r="F39" s="423">
        <v>0</v>
      </c>
      <c r="G39" s="424">
        <f>SUM(C39:F39)</f>
        <v>0</v>
      </c>
      <c r="I39" s="423">
        <v>0</v>
      </c>
      <c r="J39" s="423">
        <v>0</v>
      </c>
      <c r="K39" s="423">
        <v>0</v>
      </c>
      <c r="L39" s="423">
        <v>0</v>
      </c>
      <c r="M39" s="423">
        <v>0</v>
      </c>
      <c r="N39" s="423">
        <f t="shared" si="13"/>
        <v>0</v>
      </c>
      <c r="O39" s="423">
        <v>0</v>
      </c>
      <c r="P39" s="423">
        <v>0</v>
      </c>
    </row>
    <row r="40" spans="1:16">
      <c r="A40" s="214">
        <v>22</v>
      </c>
      <c r="B40" s="215" t="s">
        <v>248</v>
      </c>
      <c r="C40" s="422">
        <v>0</v>
      </c>
      <c r="D40" s="423">
        <v>0</v>
      </c>
      <c r="E40" s="423">
        <v>0</v>
      </c>
      <c r="F40" s="423">
        <v>0</v>
      </c>
      <c r="G40" s="424">
        <f>SUM(C40:F40)</f>
        <v>0</v>
      </c>
      <c r="I40" s="423">
        <v>0</v>
      </c>
      <c r="J40" s="423">
        <v>0</v>
      </c>
      <c r="K40" s="423">
        <v>0</v>
      </c>
      <c r="L40" s="423">
        <v>0</v>
      </c>
      <c r="M40" s="423">
        <v>0</v>
      </c>
      <c r="N40" s="423">
        <f t="shared" si="13"/>
        <v>0</v>
      </c>
      <c r="O40" s="423">
        <v>0</v>
      </c>
      <c r="P40" s="423">
        <v>0</v>
      </c>
    </row>
    <row r="41" spans="1:16">
      <c r="A41" s="214">
        <v>23</v>
      </c>
      <c r="B41" s="215" t="s">
        <v>270</v>
      </c>
      <c r="C41" s="422">
        <v>359708.11107913172</v>
      </c>
      <c r="D41" s="423">
        <v>106034.39081099138</v>
      </c>
      <c r="E41" s="423">
        <v>0</v>
      </c>
      <c r="F41" s="423">
        <v>56703.189539492625</v>
      </c>
      <c r="G41" s="424">
        <f t="shared" ref="G41:G43" si="15">SUM(C41:F41)</f>
        <v>522445.69142961572</v>
      </c>
      <c r="I41" s="423">
        <v>359708.11107913172</v>
      </c>
      <c r="J41" s="423">
        <v>0</v>
      </c>
      <c r="K41" s="423">
        <v>0</v>
      </c>
      <c r="L41" s="423">
        <v>0</v>
      </c>
      <c r="M41" s="423">
        <v>106034.39081099138</v>
      </c>
      <c r="N41" s="423">
        <f t="shared" si="13"/>
        <v>465742.50189012312</v>
      </c>
      <c r="O41" s="423">
        <v>56703.189539492625</v>
      </c>
      <c r="P41" s="423">
        <v>0</v>
      </c>
    </row>
    <row r="42" spans="1:16">
      <c r="A42" s="214">
        <v>24</v>
      </c>
      <c r="B42" s="215" t="s">
        <v>271</v>
      </c>
      <c r="C42" s="422">
        <v>1504248.1452332949</v>
      </c>
      <c r="D42" s="423">
        <v>436030.58018971561</v>
      </c>
      <c r="E42" s="423">
        <v>0</v>
      </c>
      <c r="F42" s="423">
        <v>0</v>
      </c>
      <c r="G42" s="424">
        <f t="shared" si="15"/>
        <v>1940278.7254230105</v>
      </c>
      <c r="I42" s="423">
        <v>1504248.1452332949</v>
      </c>
      <c r="J42" s="423">
        <v>0</v>
      </c>
      <c r="K42" s="423">
        <v>0</v>
      </c>
      <c r="L42" s="423">
        <v>0</v>
      </c>
      <c r="M42" s="423">
        <v>436030.58018971561</v>
      </c>
      <c r="N42" s="423">
        <f t="shared" si="13"/>
        <v>1940278.7254230105</v>
      </c>
      <c r="O42" s="423">
        <v>0</v>
      </c>
      <c r="P42" s="423">
        <v>0</v>
      </c>
    </row>
    <row r="43" spans="1:16">
      <c r="A43" s="214">
        <v>25</v>
      </c>
      <c r="B43" s="215" t="s">
        <v>272</v>
      </c>
      <c r="C43" s="422">
        <v>184303.02995155111</v>
      </c>
      <c r="D43" s="423">
        <v>53455.853980027685</v>
      </c>
      <c r="E43" s="423">
        <v>0</v>
      </c>
      <c r="F43" s="423">
        <v>5791.8778024516905</v>
      </c>
      <c r="G43" s="424">
        <f t="shared" si="15"/>
        <v>243550.7617340305</v>
      </c>
      <c r="I43" s="423">
        <v>184303.02995155111</v>
      </c>
      <c r="J43" s="423">
        <v>0</v>
      </c>
      <c r="K43" s="423">
        <v>0</v>
      </c>
      <c r="L43" s="423">
        <v>0</v>
      </c>
      <c r="M43" s="423">
        <v>53455.853980027685</v>
      </c>
      <c r="N43" s="423">
        <f t="shared" si="13"/>
        <v>237758.88393157881</v>
      </c>
      <c r="O43" s="423">
        <v>5791.8778024516905</v>
      </c>
      <c r="P43" s="423">
        <v>0</v>
      </c>
    </row>
    <row r="44" spans="1:16">
      <c r="A44" s="214"/>
      <c r="B44" s="216" t="s">
        <v>273</v>
      </c>
      <c r="C44" s="425">
        <f>SUM(C34:C43)</f>
        <v>3870363.6289825728</v>
      </c>
      <c r="D44" s="426">
        <f>SUM(D34:D43)</f>
        <v>1122572.9335805811</v>
      </c>
      <c r="E44" s="426">
        <f>SUM(E34:E43)</f>
        <v>0</v>
      </c>
      <c r="F44" s="426">
        <f>SUM(F34:F43)</f>
        <v>121629.4338514855</v>
      </c>
      <c r="G44" s="427">
        <f>SUM(G34:G43)</f>
        <v>5114565.99641464</v>
      </c>
      <c r="I44" s="426">
        <f>SUM(I34:I43)</f>
        <v>3870363.6289825728</v>
      </c>
      <c r="J44" s="426">
        <f t="shared" ref="J44:P44" si="16">SUM(J34:J43)</f>
        <v>0</v>
      </c>
      <c r="K44" s="426">
        <f t="shared" si="16"/>
        <v>0</v>
      </c>
      <c r="L44" s="426">
        <f t="shared" si="16"/>
        <v>0</v>
      </c>
      <c r="M44" s="426">
        <f t="shared" si="16"/>
        <v>1122572.9335805811</v>
      </c>
      <c r="N44" s="426">
        <f t="shared" si="16"/>
        <v>4992936.5625631548</v>
      </c>
      <c r="O44" s="426">
        <f t="shared" si="16"/>
        <v>121629.4338514855</v>
      </c>
      <c r="P44" s="426">
        <f t="shared" si="16"/>
        <v>0</v>
      </c>
    </row>
    <row r="45" spans="1:16">
      <c r="A45" s="214">
        <v>26</v>
      </c>
      <c r="B45" s="215" t="s">
        <v>251</v>
      </c>
      <c r="C45" s="422">
        <v>459108.57728099212</v>
      </c>
      <c r="D45" s="423">
        <v>472584.11205818434</v>
      </c>
      <c r="E45" s="423">
        <v>0</v>
      </c>
      <c r="F45" s="423">
        <v>0</v>
      </c>
      <c r="G45" s="424">
        <f t="shared" ref="G45:G47" si="17">SUM(C45:F45)</f>
        <v>931692.68933917652</v>
      </c>
      <c r="I45" s="423">
        <v>459108.57728099212</v>
      </c>
      <c r="J45" s="423">
        <v>0</v>
      </c>
      <c r="K45" s="423">
        <v>0</v>
      </c>
      <c r="L45" s="423">
        <v>0</v>
      </c>
      <c r="M45" s="423">
        <v>472584.11205818434</v>
      </c>
      <c r="N45" s="423">
        <f>SUM(I45:M45)</f>
        <v>931692.68933917652</v>
      </c>
      <c r="O45" s="423">
        <v>0</v>
      </c>
      <c r="P45" s="423">
        <v>0</v>
      </c>
    </row>
    <row r="46" spans="1:16">
      <c r="A46" s="214">
        <v>27</v>
      </c>
      <c r="B46" s="215" t="s">
        <v>252</v>
      </c>
      <c r="C46" s="422">
        <v>631432.32999999996</v>
      </c>
      <c r="D46" s="423">
        <v>493584.68</v>
      </c>
      <c r="E46" s="423">
        <v>86331</v>
      </c>
      <c r="F46" s="423">
        <v>137075</v>
      </c>
      <c r="G46" s="424">
        <f t="shared" si="17"/>
        <v>1348423.01</v>
      </c>
      <c r="I46" s="423">
        <v>446723.28</v>
      </c>
      <c r="J46" s="423">
        <v>184709.05</v>
      </c>
      <c r="K46" s="423">
        <v>86331</v>
      </c>
      <c r="L46" s="423">
        <v>266787</v>
      </c>
      <c r="M46" s="423">
        <v>226797.68</v>
      </c>
      <c r="N46" s="423">
        <v>1211348.01</v>
      </c>
      <c r="O46" s="423">
        <v>50967</v>
      </c>
      <c r="P46" s="423">
        <v>86108</v>
      </c>
    </row>
    <row r="47" spans="1:16">
      <c r="A47" s="214">
        <v>28</v>
      </c>
      <c r="B47" s="217" t="s">
        <v>253</v>
      </c>
      <c r="C47" s="428">
        <v>0</v>
      </c>
      <c r="D47" s="429">
        <v>0</v>
      </c>
      <c r="E47" s="429">
        <v>0</v>
      </c>
      <c r="F47" s="429">
        <v>0</v>
      </c>
      <c r="G47" s="430">
        <f t="shared" si="17"/>
        <v>0</v>
      </c>
      <c r="I47" s="429">
        <v>0</v>
      </c>
      <c r="J47" s="429">
        <v>0</v>
      </c>
      <c r="K47" s="429">
        <v>0</v>
      </c>
      <c r="L47" s="429">
        <v>0</v>
      </c>
      <c r="M47" s="429">
        <v>0</v>
      </c>
      <c r="N47" s="429">
        <f>SUM(I47:M47)</f>
        <v>0</v>
      </c>
      <c r="O47" s="429">
        <v>0</v>
      </c>
      <c r="P47" s="429">
        <v>0</v>
      </c>
    </row>
    <row r="48" spans="1:16">
      <c r="A48" s="214"/>
      <c r="B48" s="218" t="s">
        <v>274</v>
      </c>
      <c r="C48" s="431">
        <f>SUM(C45:C47)</f>
        <v>1090540.907280992</v>
      </c>
      <c r="D48" s="432">
        <f>SUM(D45:D47)</f>
        <v>966168.79205818428</v>
      </c>
      <c r="E48" s="432">
        <f>SUM(E45:E47)</f>
        <v>86331</v>
      </c>
      <c r="F48" s="432">
        <f>SUM(F45:F47)</f>
        <v>137075</v>
      </c>
      <c r="G48" s="433">
        <f>SUM(G45:G47)</f>
        <v>2280115.6993391765</v>
      </c>
      <c r="I48" s="432">
        <f>SUM(I45:I47)</f>
        <v>905831.8572809922</v>
      </c>
      <c r="J48" s="432">
        <f t="shared" ref="J48:P48" si="18">SUM(J45:J47)</f>
        <v>184709.05</v>
      </c>
      <c r="K48" s="432">
        <f t="shared" si="18"/>
        <v>86331</v>
      </c>
      <c r="L48" s="432">
        <f t="shared" si="18"/>
        <v>266787</v>
      </c>
      <c r="M48" s="432">
        <f t="shared" si="18"/>
        <v>699381.79205818428</v>
      </c>
      <c r="N48" s="432">
        <f t="shared" si="18"/>
        <v>2143040.6993391765</v>
      </c>
      <c r="O48" s="432">
        <f t="shared" si="18"/>
        <v>50967</v>
      </c>
      <c r="P48" s="432">
        <f t="shared" si="18"/>
        <v>86108</v>
      </c>
    </row>
    <row r="49" spans="1:16" ht="15" thickBot="1">
      <c r="A49" s="310"/>
      <c r="B49" s="219" t="s">
        <v>275</v>
      </c>
      <c r="C49" s="434">
        <f>C44/C48</f>
        <v>3.5490311304620539</v>
      </c>
      <c r="D49" s="435">
        <f>D44/D48</f>
        <v>1.161880763286937</v>
      </c>
      <c r="E49" s="435">
        <f>E44/E48</f>
        <v>0</v>
      </c>
      <c r="F49" s="435">
        <f>F44/F48</f>
        <v>0.88732032720397958</v>
      </c>
      <c r="G49" s="436">
        <f>G44/G48</f>
        <v>2.2431168724889461</v>
      </c>
      <c r="H49" s="457"/>
      <c r="I49" s="435">
        <f>IFERROR(I44/I48,"n/a")</f>
        <v>4.2727175003539015</v>
      </c>
      <c r="J49" s="435">
        <f t="shared" ref="J49:P49" si="19">IFERROR(J44/J48,"n/a")</f>
        <v>0</v>
      </c>
      <c r="K49" s="435">
        <f t="shared" si="19"/>
        <v>0</v>
      </c>
      <c r="L49" s="435">
        <f t="shared" si="19"/>
        <v>0</v>
      </c>
      <c r="M49" s="435">
        <f t="shared" si="19"/>
        <v>1.6050931641743253</v>
      </c>
      <c r="N49" s="435">
        <f t="shared" si="19"/>
        <v>2.329837489368618</v>
      </c>
      <c r="O49" s="435">
        <f t="shared" si="19"/>
        <v>2.3864350236718956</v>
      </c>
      <c r="P49" s="435">
        <f t="shared" si="19"/>
        <v>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B2"/>
  <sheetViews>
    <sheetView workbookViewId="0">
      <selection activeCell="E16" sqref="E16"/>
    </sheetView>
  </sheetViews>
  <sheetFormatPr defaultRowHeight="14.5"/>
  <sheetData>
    <row r="2" spans="2:2">
      <c r="B2" s="245" t="s">
        <v>116</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2"/>
  <sheetViews>
    <sheetView zoomScale="90" zoomScaleNormal="90" workbookViewId="0">
      <selection activeCell="B13" sqref="B13"/>
    </sheetView>
  </sheetViews>
  <sheetFormatPr defaultRowHeight="14.5"/>
  <cols>
    <col min="1" max="1" width="16.54296875" customWidth="1"/>
    <col min="2" max="2" width="16.1796875" customWidth="1"/>
    <col min="3" max="3" width="20.81640625" customWidth="1"/>
    <col min="4" max="4" width="34.453125" customWidth="1"/>
    <col min="5" max="5" width="20" customWidth="1"/>
    <col min="6" max="6" width="15.81640625" customWidth="1"/>
    <col min="7" max="7" width="16.54296875" customWidth="1"/>
    <col min="8" max="8" width="15.1796875" customWidth="1"/>
    <col min="9" max="9" width="11" customWidth="1"/>
    <col min="10" max="10" width="11.81640625" customWidth="1"/>
    <col min="11" max="11" width="11.453125" customWidth="1"/>
    <col min="12" max="12" width="12.453125" customWidth="1"/>
    <col min="13" max="13" width="13.453125" customWidth="1"/>
    <col min="15" max="15" width="34.54296875" customWidth="1"/>
  </cols>
  <sheetData>
    <row r="1" spans="1:13" ht="23.15" customHeight="1">
      <c r="A1" t="s">
        <v>276</v>
      </c>
      <c r="B1" s="15" t="s">
        <v>277</v>
      </c>
    </row>
    <row r="2" spans="1:13">
      <c r="A2" s="529" t="s">
        <v>278</v>
      </c>
      <c r="B2" s="529"/>
      <c r="C2" s="530"/>
      <c r="D2" s="119"/>
      <c r="E2" s="120" t="s">
        <v>279</v>
      </c>
      <c r="F2" s="531" t="s">
        <v>280</v>
      </c>
      <c r="G2" s="532"/>
      <c r="H2" s="533"/>
      <c r="I2" s="534" t="s">
        <v>281</v>
      </c>
      <c r="J2" s="535"/>
      <c r="K2" s="535"/>
      <c r="L2" s="535"/>
      <c r="M2" s="536"/>
    </row>
    <row r="3" spans="1:13" ht="72.5">
      <c r="A3" s="121" t="s">
        <v>282</v>
      </c>
      <c r="B3" s="122" t="s">
        <v>283</v>
      </c>
      <c r="C3" s="123" t="s">
        <v>99</v>
      </c>
      <c r="D3" s="123" t="s">
        <v>160</v>
      </c>
      <c r="E3" s="124" t="s">
        <v>140</v>
      </c>
      <c r="F3" s="125" t="s">
        <v>284</v>
      </c>
      <c r="G3" s="125" t="s">
        <v>285</v>
      </c>
      <c r="H3" s="125" t="s">
        <v>286</v>
      </c>
      <c r="I3" s="126" t="s">
        <v>287</v>
      </c>
      <c r="J3" s="126" t="s">
        <v>288</v>
      </c>
      <c r="K3" s="127" t="s">
        <v>289</v>
      </c>
      <c r="L3" s="127" t="s">
        <v>290</v>
      </c>
      <c r="M3" s="127" t="s">
        <v>291</v>
      </c>
    </row>
    <row r="4" spans="1:13">
      <c r="A4" s="128" t="s">
        <v>210</v>
      </c>
      <c r="B4" s="129" t="s">
        <v>41</v>
      </c>
      <c r="C4" s="128" t="s">
        <v>181</v>
      </c>
      <c r="D4" s="67" t="s">
        <v>155</v>
      </c>
      <c r="E4" s="138">
        <f>'Ap B - Qtr Electric Master'!$F$8</f>
        <v>59775</v>
      </c>
      <c r="F4" s="131">
        <f>'Ap B - Qtr Electric Master'!$I$8</f>
        <v>1002.73</v>
      </c>
      <c r="G4" s="132">
        <f>SUM(' Ap C - Qtr Electric LMI'!$F$8:$G$8)</f>
        <v>277.45299999999997</v>
      </c>
      <c r="H4" s="132">
        <f>'Ap B - Qtr Electric Master'!$J$8</f>
        <v>724.17600000000004</v>
      </c>
      <c r="I4" s="133">
        <f>'Ap B - Qtr Electric Master'!$N$8</f>
        <v>3707.7000000000003</v>
      </c>
      <c r="J4" s="133">
        <f>'Ap B - Qtr Electric Master'!$S$8</f>
        <v>48200.100000000006</v>
      </c>
      <c r="K4" s="139">
        <f>'Ap B - Qtr Electric Master'!$Q$8</f>
        <v>0.23</v>
      </c>
      <c r="L4" s="20"/>
      <c r="M4" s="20"/>
    </row>
    <row r="5" spans="1:13">
      <c r="A5" s="128" t="s">
        <v>210</v>
      </c>
      <c r="B5" s="129" t="s">
        <v>41</v>
      </c>
      <c r="C5" s="128" t="s">
        <v>182</v>
      </c>
      <c r="D5" s="67" t="s">
        <v>292</v>
      </c>
      <c r="E5" s="138">
        <f>'Ap B - Qtr Electric Master'!$F$9</f>
        <v>0</v>
      </c>
      <c r="F5" s="131">
        <f>'Ap B - Qtr Electric Master'!$I$9</f>
        <v>457.65199999999999</v>
      </c>
      <c r="G5" s="132">
        <f>SUM(' Ap C - Qtr Electric LMI'!$F$9:$G$9)</f>
        <v>0</v>
      </c>
      <c r="H5" s="132">
        <f>'Ap B - Qtr Electric Master'!$J$9</f>
        <v>94.855999999999995</v>
      </c>
      <c r="I5" s="133">
        <f>'Ap B - Qtr Electric Master'!$N$9</f>
        <v>0</v>
      </c>
      <c r="J5" s="133">
        <f>'Ap B - Qtr Electric Master'!$S$9</f>
        <v>0</v>
      </c>
      <c r="K5" s="139">
        <f>'Ap B - Qtr Electric Master'!$Q$9</f>
        <v>0</v>
      </c>
      <c r="L5" s="20"/>
      <c r="M5" s="20"/>
    </row>
    <row r="6" spans="1:13">
      <c r="A6" s="128" t="s">
        <v>210</v>
      </c>
      <c r="B6" s="129" t="s">
        <v>41</v>
      </c>
      <c r="C6" s="128" t="s">
        <v>182</v>
      </c>
      <c r="D6" s="67" t="s">
        <v>157</v>
      </c>
      <c r="E6" s="138">
        <f>'Ap B - Qtr Electric Master'!$F$10</f>
        <v>0</v>
      </c>
      <c r="F6" s="131">
        <f>'Ap B - Qtr Electric Master'!$I$10</f>
        <v>268.721</v>
      </c>
      <c r="G6" s="132">
        <f>SUM(' Ap C - Qtr Electric LMI'!$F$10:$G$10)</f>
        <v>0</v>
      </c>
      <c r="H6" s="132">
        <f>'Ap B - Qtr Electric Master'!$J$10</f>
        <v>89.852999999999994</v>
      </c>
      <c r="I6" s="133">
        <f>'Ap B - Qtr Electric Master'!$N$10</f>
        <v>0</v>
      </c>
      <c r="J6" s="133">
        <f>'Ap B - Qtr Electric Master'!$S$10</f>
        <v>0</v>
      </c>
      <c r="K6" s="139">
        <f>'Ap B - Qtr Electric Master'!$Q$10</f>
        <v>0</v>
      </c>
      <c r="L6" s="20"/>
      <c r="M6" s="20"/>
    </row>
    <row r="7" spans="1:13">
      <c r="A7" s="128" t="s">
        <v>210</v>
      </c>
      <c r="B7" s="129" t="s">
        <v>293</v>
      </c>
      <c r="C7" s="128" t="s">
        <v>294</v>
      </c>
      <c r="D7" s="67" t="s">
        <v>294</v>
      </c>
      <c r="E7" s="130">
        <f>'Ap B - Qtr Electric Master'!$F$14</f>
        <v>0</v>
      </c>
      <c r="F7" s="131">
        <f>'Ap B - Qtr Electric Master'!$I$14</f>
        <v>1155.5930000000001</v>
      </c>
      <c r="G7" s="132">
        <f>' Ap D - Qtr Electric Business'!$F$8</f>
        <v>0</v>
      </c>
      <c r="H7" s="132">
        <f>'Ap B - Qtr Electric Master'!$J$14</f>
        <v>266.78699999999998</v>
      </c>
      <c r="I7" s="133">
        <f>'Ap B - Qtr Electric Master'!$N$14</f>
        <v>0</v>
      </c>
      <c r="J7" s="133">
        <f>'Ap B - Qtr Electric Master'!$S$14</f>
        <v>0</v>
      </c>
      <c r="K7" s="139">
        <f>'Ap B - Qtr Electric Master'!$Q$14</f>
        <v>0</v>
      </c>
      <c r="L7" s="20"/>
      <c r="M7" s="20"/>
    </row>
    <row r="8" spans="1:13">
      <c r="A8" s="128" t="s">
        <v>210</v>
      </c>
      <c r="B8" s="129" t="s">
        <v>293</v>
      </c>
      <c r="C8" s="128" t="s">
        <v>295</v>
      </c>
      <c r="D8" s="67" t="s">
        <v>164</v>
      </c>
      <c r="E8" s="130">
        <f>'Ap B - Qtr Electric Master'!$F$15</f>
        <v>312</v>
      </c>
      <c r="F8" s="131">
        <f>'Ap B - Qtr Electric Master'!$I$15</f>
        <v>997.43499999999995</v>
      </c>
      <c r="G8" s="132">
        <f>SUM(' Ap D - Qtr Electric Business'!$F$9:$G$9)</f>
        <v>431.53500000000008</v>
      </c>
      <c r="H8" s="132">
        <f>'Ap B - Qtr Electric Master'!$J$15</f>
        <v>658.33299999999997</v>
      </c>
      <c r="I8" s="133">
        <f>'Ap B - Qtr Electric Master'!$N$15</f>
        <v>917.1</v>
      </c>
      <c r="J8" s="133">
        <f>'Ap B - Qtr Electric Master'!$S$15</f>
        <v>13114.53</v>
      </c>
      <c r="K8" s="139">
        <f>'Ap B - Qtr Electric Master'!$Q$15</f>
        <v>0.18</v>
      </c>
      <c r="L8" s="20"/>
      <c r="M8" s="20"/>
    </row>
    <row r="9" spans="1:13">
      <c r="A9" s="128" t="s">
        <v>210</v>
      </c>
      <c r="B9" s="129" t="s">
        <v>110</v>
      </c>
      <c r="C9" s="128" t="s">
        <v>110</v>
      </c>
      <c r="D9" s="67" t="s">
        <v>292</v>
      </c>
      <c r="E9" s="130">
        <f>'Ap B - Qtr Electric Master'!$F$18</f>
        <v>0</v>
      </c>
      <c r="F9" s="131">
        <f>'Ap B - Qtr Electric Master'!$I$18</f>
        <v>329.79599999999999</v>
      </c>
      <c r="G9" s="132">
        <f>SUM(' Ap D - Qtr Electric Business'!$F$12:$G$12)</f>
        <v>0</v>
      </c>
      <c r="H9" s="132">
        <f>'Ap B - Qtr Electric Master'!$J$18</f>
        <v>86.331000000000003</v>
      </c>
      <c r="I9" s="133">
        <f>'Ap B - Qtr Electric Master'!$N$18</f>
        <v>0</v>
      </c>
      <c r="J9" s="133">
        <f>'Ap B - Qtr Electric Master'!$S$18</f>
        <v>0</v>
      </c>
      <c r="K9" s="139">
        <f>'Ap B - Qtr Electric Master'!$Q$18</f>
        <v>0</v>
      </c>
      <c r="L9" s="20"/>
      <c r="M9" s="20"/>
    </row>
    <row r="10" spans="1:13">
      <c r="A10" s="128" t="s">
        <v>210</v>
      </c>
      <c r="B10" s="129" t="s">
        <v>296</v>
      </c>
      <c r="C10" s="128" t="s">
        <v>114</v>
      </c>
      <c r="D10" s="67" t="s">
        <v>168</v>
      </c>
      <c r="E10" s="130">
        <f>'Ap B - Qtr Electric Master'!$F$20</f>
        <v>815</v>
      </c>
      <c r="F10" s="131">
        <f>'Ap B - Qtr Electric Master'!$I$20</f>
        <v>358.803</v>
      </c>
      <c r="G10" s="132">
        <f>SUM(' Ap D - Qtr Electric Business'!$F$14:$G$14)</f>
        <v>0</v>
      </c>
      <c r="H10" s="132">
        <f>'Ap B - Qtr Electric Master'!$J$20</f>
        <v>120.242</v>
      </c>
      <c r="I10" s="133">
        <f>'Ap B - Qtr Electric Master'!$N$20</f>
        <v>0</v>
      </c>
      <c r="J10" s="133">
        <f>'Ap B - Qtr Electric Master'!$S$20</f>
        <v>0</v>
      </c>
      <c r="K10" s="139">
        <f>'Ap B - Qtr Electric Master'!$Q$20</f>
        <v>0.82499999999999996</v>
      </c>
      <c r="L10" s="20"/>
      <c r="M10" s="20"/>
    </row>
    <row r="11" spans="1:13">
      <c r="A11" s="128" t="s">
        <v>210</v>
      </c>
      <c r="B11" s="129" t="s">
        <v>296</v>
      </c>
      <c r="C11" s="128" t="s">
        <v>169</v>
      </c>
      <c r="D11" s="67" t="s">
        <v>169</v>
      </c>
      <c r="E11" s="130">
        <f>'Ap B - Qtr Electric Master'!$F$21</f>
        <v>0</v>
      </c>
      <c r="F11" s="131">
        <f>'Ap B - Qtr Electric Master'!$I$21</f>
        <v>407.25299999999999</v>
      </c>
      <c r="G11" s="132">
        <f>SUM(' Ap D - Qtr Electric Business'!$F$15:$G$15)</f>
        <v>0</v>
      </c>
      <c r="H11" s="132">
        <f>'Ap B - Qtr Electric Master'!$J$21</f>
        <v>86.108000000000004</v>
      </c>
      <c r="I11" s="133">
        <f>'Ap B - Qtr Electric Master'!$N$21</f>
        <v>0</v>
      </c>
      <c r="J11" s="133">
        <f>'Ap B - Qtr Electric Master'!$S$21</f>
        <v>0</v>
      </c>
      <c r="K11" s="139">
        <f>'Ap B - Qtr Electric Master'!$Q$21</f>
        <v>0</v>
      </c>
      <c r="L11" s="20"/>
      <c r="M11" s="20"/>
    </row>
    <row r="12" spans="1:13">
      <c r="A12" s="128" t="s">
        <v>210</v>
      </c>
      <c r="B12" s="129" t="s">
        <v>41</v>
      </c>
      <c r="C12" s="128" t="s">
        <v>45</v>
      </c>
      <c r="D12" s="67" t="s">
        <v>45</v>
      </c>
      <c r="E12" s="130">
        <f>'Tables 2-6'!$C$23</f>
        <v>17</v>
      </c>
      <c r="F12" s="131">
        <f>'Tables 2-6'!$D$32</f>
        <v>358.803</v>
      </c>
      <c r="G12" s="132"/>
      <c r="H12" s="132">
        <f>'Tables 2-6'!$C$32</f>
        <v>120.242</v>
      </c>
      <c r="I12" s="133">
        <f>'Tables 2-6'!$C$43</f>
        <v>0</v>
      </c>
      <c r="J12" s="133"/>
      <c r="K12" s="133"/>
      <c r="L12" s="20"/>
      <c r="M12" s="20"/>
    </row>
    <row r="13" spans="1:13">
      <c r="A13" s="128" t="s">
        <v>210</v>
      </c>
      <c r="B13" s="129"/>
      <c r="C13" s="128" t="s">
        <v>171</v>
      </c>
      <c r="D13" s="67"/>
      <c r="E13" s="130"/>
      <c r="F13" s="131">
        <f>'Ap B - Qtr Electric Master'!$I$25</f>
        <v>0</v>
      </c>
      <c r="G13" s="132"/>
      <c r="H13" s="132">
        <f>'Ap B - Qtr Electric Master'!$J$25</f>
        <v>17.164000000000001</v>
      </c>
      <c r="I13" s="133"/>
      <c r="J13" s="133"/>
      <c r="K13" s="133"/>
      <c r="L13" s="20"/>
      <c r="M13" s="20"/>
    </row>
    <row r="14" spans="1:13">
      <c r="A14" s="128"/>
      <c r="B14" s="129"/>
      <c r="C14" s="128"/>
      <c r="D14" s="67"/>
      <c r="E14" s="130"/>
      <c r="F14" s="131"/>
      <c r="G14" s="132"/>
      <c r="H14" s="132"/>
      <c r="I14" s="133"/>
      <c r="J14" s="133"/>
      <c r="K14" s="133"/>
      <c r="L14" s="20"/>
      <c r="M14" s="20"/>
    </row>
    <row r="15" spans="1:13">
      <c r="A15" s="128"/>
      <c r="B15" s="129"/>
      <c r="C15" s="128"/>
      <c r="D15" s="313"/>
      <c r="F15" s="312"/>
      <c r="G15" s="132"/>
      <c r="H15" s="132"/>
      <c r="I15" s="133"/>
      <c r="J15" s="133"/>
      <c r="K15" s="133"/>
      <c r="L15" s="20"/>
      <c r="M15" s="20"/>
    </row>
    <row r="16" spans="1:13">
      <c r="A16" s="128"/>
      <c r="B16" s="129"/>
      <c r="C16" s="128"/>
      <c r="D16" s="20"/>
      <c r="E16" s="130"/>
      <c r="F16" s="131"/>
      <c r="G16" s="132"/>
      <c r="H16" s="132"/>
      <c r="I16" s="133"/>
      <c r="J16" s="133"/>
      <c r="K16" s="133"/>
      <c r="L16" s="20"/>
      <c r="M16" s="20"/>
    </row>
    <row r="17" spans="1:13">
      <c r="A17" s="128"/>
      <c r="B17" s="129"/>
      <c r="C17" s="128"/>
      <c r="D17" s="20"/>
      <c r="E17" s="130"/>
      <c r="F17" s="131"/>
      <c r="G17" s="132"/>
      <c r="H17" s="132"/>
      <c r="I17" s="133"/>
      <c r="J17" s="133"/>
      <c r="K17" s="133"/>
      <c r="L17" s="20"/>
      <c r="M17" s="20"/>
    </row>
    <row r="18" spans="1:13">
      <c r="A18" s="128"/>
      <c r="B18" s="129"/>
      <c r="C18" s="128"/>
      <c r="D18" s="20"/>
      <c r="E18" s="130"/>
      <c r="F18" s="131"/>
      <c r="G18" s="132"/>
      <c r="H18" s="132"/>
      <c r="I18" s="133"/>
      <c r="J18" s="133"/>
      <c r="K18" s="133"/>
      <c r="L18" s="20"/>
      <c r="M18" s="20"/>
    </row>
    <row r="19" spans="1:13">
      <c r="A19" s="128"/>
      <c r="B19" s="129"/>
      <c r="C19" s="128"/>
      <c r="D19" s="20"/>
      <c r="E19" s="130"/>
      <c r="F19" s="131"/>
      <c r="G19" s="132"/>
      <c r="H19" s="132"/>
      <c r="I19" s="133"/>
      <c r="J19" s="133"/>
      <c r="K19" s="133"/>
      <c r="L19" s="20"/>
      <c r="M19" s="20"/>
    </row>
    <row r="20" spans="1:13">
      <c r="A20" s="128"/>
      <c r="B20" s="129"/>
      <c r="C20" s="128"/>
      <c r="D20" s="67"/>
      <c r="E20" s="130"/>
      <c r="F20" s="131"/>
      <c r="G20" s="132"/>
      <c r="H20" s="132"/>
      <c r="I20" s="133"/>
      <c r="J20" s="133"/>
      <c r="K20" s="133"/>
      <c r="L20" s="20"/>
      <c r="M20" s="20"/>
    </row>
    <row r="21" spans="1:13">
      <c r="A21" s="128"/>
      <c r="B21" s="129"/>
      <c r="C21" s="128"/>
      <c r="D21" s="67"/>
      <c r="E21" s="130"/>
      <c r="F21" s="131"/>
      <c r="G21" s="132"/>
      <c r="H21" s="132"/>
      <c r="I21" s="133"/>
      <c r="J21" s="133"/>
      <c r="K21" s="133"/>
      <c r="L21" s="20"/>
      <c r="M21" s="20"/>
    </row>
    <row r="22" spans="1:13">
      <c r="A22" s="128"/>
      <c r="B22" s="129"/>
      <c r="C22" s="128"/>
      <c r="D22" s="67"/>
      <c r="E22" s="130"/>
      <c r="F22" s="131"/>
      <c r="G22" s="132"/>
      <c r="H22" s="132"/>
      <c r="I22" s="133"/>
      <c r="J22" s="133"/>
      <c r="K22" s="133"/>
      <c r="L22" s="20"/>
      <c r="M22" s="20"/>
    </row>
  </sheetData>
  <mergeCells count="3">
    <mergeCell ref="A2:C2"/>
    <mergeCell ref="F2:H2"/>
    <mergeCell ref="I2:M2"/>
  </mergeCells>
  <conditionalFormatting sqref="G4:H22">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D00-000000000000}">
          <x14:formula1>
            <xm:f>Lookup_Sheet!$A$18:$A$24</xm:f>
          </x14:formula1>
          <xm:sqref>A4:A22</xm:sqref>
        </x14:dataValidation>
        <x14:dataValidation type="list" allowBlank="1" showInputMessage="1" showErrorMessage="1" xr:uid="{00000000-0002-0000-0D00-000001000000}">
          <x14:formula1>
            <xm:f>Lookup_Sheet!$A$2:$A$5</xm:f>
          </x14:formula1>
          <xm:sqref>B4:B22</xm:sqref>
        </x14:dataValidation>
        <x14:dataValidation type="list" allowBlank="1" showInputMessage="1" xr:uid="{00000000-0002-0000-0D00-000002000000}">
          <x14:formula1>
            <xm:f>Lookup_Sheet!$A$8:$A$10</xm:f>
          </x14:formula1>
          <xm:sqref>C4:C22</xm:sqref>
        </x14:dataValidation>
        <x14:dataValidation type="list" allowBlank="1" showInputMessage="1" xr:uid="{00000000-0002-0000-0D00-000003000000}">
          <x14:formula1>
            <xm:f>Lookup_Sheet!$A$13:$A$15</xm:f>
          </x14:formula1>
          <xm:sqref>D4:D22</xm:sqref>
        </x14:dataValidation>
        <x14:dataValidation type="list" allowBlank="1" showInputMessage="1" showErrorMessage="1" xr:uid="{00000000-0002-0000-0D00-000004000000}">
          <x14:formula1>
            <xm:f>Lookup_Sheet!$A$28:$A$39</xm:f>
          </x14:formula1>
          <xm:sqref>B1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9"/>
  <sheetViews>
    <sheetView workbookViewId="0">
      <selection activeCell="A20" sqref="A20"/>
    </sheetView>
  </sheetViews>
  <sheetFormatPr defaultRowHeight="14.5"/>
  <cols>
    <col min="1" max="1" width="51.81640625" bestFit="1" customWidth="1"/>
    <col min="3" max="3" width="7.453125" bestFit="1" customWidth="1"/>
  </cols>
  <sheetData>
    <row r="1" spans="1:1">
      <c r="A1" s="134" t="s">
        <v>283</v>
      </c>
    </row>
    <row r="2" spans="1:1">
      <c r="A2" s="20" t="s">
        <v>41</v>
      </c>
    </row>
    <row r="3" spans="1:1">
      <c r="A3" s="20" t="s">
        <v>293</v>
      </c>
    </row>
    <row r="4" spans="1:1">
      <c r="A4" s="20" t="s">
        <v>110</v>
      </c>
    </row>
    <row r="5" spans="1:1">
      <c r="A5" s="20" t="s">
        <v>296</v>
      </c>
    </row>
    <row r="7" spans="1:1">
      <c r="A7" s="134" t="s">
        <v>99</v>
      </c>
    </row>
    <row r="8" spans="1:1">
      <c r="A8" s="20" t="s">
        <v>181</v>
      </c>
    </row>
    <row r="9" spans="1:1">
      <c r="A9" s="20" t="s">
        <v>294</v>
      </c>
    </row>
    <row r="10" spans="1:1">
      <c r="A10" s="20" t="s">
        <v>110</v>
      </c>
    </row>
    <row r="12" spans="1:1">
      <c r="A12" s="134" t="s">
        <v>160</v>
      </c>
    </row>
    <row r="13" spans="1:1">
      <c r="A13" s="20" t="s">
        <v>292</v>
      </c>
    </row>
    <row r="14" spans="1:1">
      <c r="A14" s="20" t="s">
        <v>297</v>
      </c>
    </row>
    <row r="15" spans="1:1">
      <c r="A15" s="20" t="s">
        <v>294</v>
      </c>
    </row>
    <row r="17" spans="1:1">
      <c r="A17" s="134" t="s">
        <v>298</v>
      </c>
    </row>
    <row r="18" spans="1:1">
      <c r="A18" s="135" t="s">
        <v>299</v>
      </c>
    </row>
    <row r="19" spans="1:1">
      <c r="A19" s="135" t="s">
        <v>300</v>
      </c>
    </row>
    <row r="20" spans="1:1">
      <c r="A20" s="135" t="s">
        <v>301</v>
      </c>
    </row>
    <row r="21" spans="1:1">
      <c r="A21" s="135" t="s">
        <v>302</v>
      </c>
    </row>
    <row r="22" spans="1:1">
      <c r="A22" s="135" t="s">
        <v>303</v>
      </c>
    </row>
    <row r="23" spans="1:1">
      <c r="A23" s="135" t="s">
        <v>210</v>
      </c>
    </row>
    <row r="24" spans="1:1">
      <c r="A24" s="135" t="s">
        <v>304</v>
      </c>
    </row>
    <row r="27" spans="1:1">
      <c r="A27" s="136" t="s">
        <v>305</v>
      </c>
    </row>
    <row r="28" spans="1:1">
      <c r="A28" s="137" t="s">
        <v>306</v>
      </c>
    </row>
    <row r="29" spans="1:1">
      <c r="A29" s="137" t="s">
        <v>307</v>
      </c>
    </row>
    <row r="30" spans="1:1">
      <c r="A30" s="137" t="s">
        <v>308</v>
      </c>
    </row>
    <row r="31" spans="1:1">
      <c r="A31" s="137" t="s">
        <v>277</v>
      </c>
    </row>
    <row r="32" spans="1:1">
      <c r="A32" s="137" t="s">
        <v>309</v>
      </c>
    </row>
    <row r="33" spans="1:1">
      <c r="A33" s="137" t="s">
        <v>310</v>
      </c>
    </row>
    <row r="34" spans="1:1">
      <c r="A34" s="137" t="s">
        <v>311</v>
      </c>
    </row>
    <row r="35" spans="1:1">
      <c r="A35" s="137" t="s">
        <v>312</v>
      </c>
    </row>
    <row r="36" spans="1:1">
      <c r="A36" s="137" t="s">
        <v>313</v>
      </c>
    </row>
    <row r="37" spans="1:1">
      <c r="A37" s="137" t="s">
        <v>314</v>
      </c>
    </row>
    <row r="38" spans="1:1">
      <c r="A38" s="137" t="s">
        <v>315</v>
      </c>
    </row>
    <row r="39" spans="1:1">
      <c r="A39" s="137" t="s">
        <v>316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O67"/>
  <sheetViews>
    <sheetView topLeftCell="A37" zoomScaleNormal="100" workbookViewId="0">
      <selection activeCell="I51" sqref="I51"/>
    </sheetView>
  </sheetViews>
  <sheetFormatPr defaultRowHeight="14.5"/>
  <cols>
    <col min="1" max="1" width="47" customWidth="1"/>
    <col min="2" max="7" width="13.453125" customWidth="1"/>
    <col min="8" max="8" width="6.453125" customWidth="1"/>
    <col min="9" max="20" width="11.54296875" customWidth="1"/>
  </cols>
  <sheetData>
    <row r="1" spans="1:15">
      <c r="A1" t="s">
        <v>18</v>
      </c>
      <c r="I1" t="s">
        <v>19</v>
      </c>
      <c r="J1" t="s">
        <v>20</v>
      </c>
      <c r="L1" s="224"/>
      <c r="M1" s="224"/>
      <c r="N1" s="225"/>
      <c r="O1" s="226"/>
    </row>
    <row r="2" spans="1:15" ht="36">
      <c r="A2" s="210"/>
      <c r="B2" s="211" t="s">
        <v>21</v>
      </c>
      <c r="C2" s="211" t="s">
        <v>22</v>
      </c>
      <c r="D2" s="211" t="s">
        <v>23</v>
      </c>
      <c r="E2" s="199" t="s">
        <v>24</v>
      </c>
      <c r="F2" s="199" t="s">
        <v>25</v>
      </c>
      <c r="G2" s="199" t="s">
        <v>26</v>
      </c>
      <c r="I2" s="72">
        <f>$E$46</f>
        <v>0.51074872972657026</v>
      </c>
      <c r="J2" s="72">
        <f>E35</f>
        <v>0.40531987619043919</v>
      </c>
      <c r="L2" s="227"/>
      <c r="M2" s="226"/>
    </row>
    <row r="3" spans="1:15">
      <c r="A3" s="228" t="s">
        <v>27</v>
      </c>
      <c r="B3" s="318">
        <f>'Ap B - Qtr Electric Master'!N11+'Ap B - Qtr Electric Master'!N16</f>
        <v>4624.8</v>
      </c>
      <c r="C3" s="319">
        <f>'Ap B - Qtr Electric Master'!N24</f>
        <v>19.5</v>
      </c>
      <c r="D3" s="230">
        <v>0</v>
      </c>
      <c r="E3" s="230">
        <f>SUM(B3:D3)</f>
        <v>4644.3</v>
      </c>
      <c r="F3" s="317">
        <v>9007</v>
      </c>
      <c r="G3" s="231">
        <f>E3/F3</f>
        <v>0.51563228599977795</v>
      </c>
      <c r="L3" s="227"/>
    </row>
    <row r="4" spans="1:15">
      <c r="A4" s="228" t="s">
        <v>28</v>
      </c>
      <c r="B4" s="230">
        <f>'Ap B - Qtr Electric Master'!S11+'Ap B - Qtr Electric Master'!S16</f>
        <v>61314.630000000005</v>
      </c>
      <c r="C4" s="230">
        <f>'Ap B - Qtr Electric Master'!S24</f>
        <v>296.39999999999998</v>
      </c>
      <c r="D4" s="230">
        <v>0</v>
      </c>
      <c r="E4" s="230">
        <f t="shared" ref="E4:E9" si="0">SUM(B4:D4)</f>
        <v>61611.030000000006</v>
      </c>
      <c r="F4" s="317">
        <v>111565</v>
      </c>
      <c r="G4" s="231">
        <f>E4/F4</f>
        <v>0.55224335589118456</v>
      </c>
      <c r="L4" s="227"/>
    </row>
    <row r="5" spans="1:15">
      <c r="A5" s="228" t="s">
        <v>29</v>
      </c>
      <c r="B5" s="342">
        <f>'Ap B - Qtr Electric Master'!Q11+'Ap B - Qtr Electric Master'!Q16+'Ap B - Qtr Electric Master'!Q22</f>
        <v>1.2349999999999999</v>
      </c>
      <c r="C5" s="343">
        <f>'Ap B - Qtr Electric Master'!Q24</f>
        <v>1.1999999999999999E-3</v>
      </c>
      <c r="D5" s="230">
        <v>0</v>
      </c>
      <c r="E5" s="321">
        <f t="shared" si="0"/>
        <v>1.2362</v>
      </c>
      <c r="F5" s="232"/>
      <c r="G5" s="233"/>
      <c r="L5" s="227"/>
    </row>
    <row r="6" spans="1:15" ht="16.5">
      <c r="A6" s="228" t="s">
        <v>30</v>
      </c>
      <c r="B6" s="322">
        <f>'Ap B - Qtr Electric Master'!Q22*1+'Ap B - Qtr Electric Master'!Q16*14.3+'Ap B - Qtr Electric Master'!Q11*13</f>
        <v>6.3890000000000002</v>
      </c>
      <c r="C6" s="323">
        <f>'Ap B - Qtr Electric Master'!Q24*15.2</f>
        <v>1.8239999999999999E-2</v>
      </c>
      <c r="D6" s="230">
        <v>0</v>
      </c>
      <c r="E6" s="321">
        <f t="shared" si="0"/>
        <v>6.4072399999999998</v>
      </c>
      <c r="F6" s="232"/>
      <c r="G6" s="233"/>
      <c r="H6" s="227"/>
      <c r="L6" s="227"/>
    </row>
    <row r="7" spans="1:15">
      <c r="A7" s="228" t="s">
        <v>31</v>
      </c>
      <c r="B7" s="229">
        <v>0</v>
      </c>
      <c r="C7" s="230">
        <f>C4</f>
        <v>296.39999999999998</v>
      </c>
      <c r="D7" s="230">
        <v>0</v>
      </c>
      <c r="E7" s="324">
        <f t="shared" si="0"/>
        <v>296.39999999999998</v>
      </c>
      <c r="F7" s="232"/>
      <c r="G7" s="233"/>
      <c r="H7" s="227"/>
      <c r="I7" s="227"/>
      <c r="J7" s="227"/>
      <c r="K7" s="227"/>
      <c r="L7" s="227"/>
    </row>
    <row r="8" spans="1:15">
      <c r="A8" s="228" t="s">
        <v>32</v>
      </c>
      <c r="B8" s="410">
        <f>' Ap D - Qtr Electric Business'!H19*14.3</f>
        <v>10491.624000000002</v>
      </c>
      <c r="C8" s="232"/>
      <c r="D8" s="230">
        <v>0</v>
      </c>
      <c r="E8" s="324">
        <f t="shared" si="0"/>
        <v>10491.624000000002</v>
      </c>
      <c r="F8" s="232"/>
      <c r="G8" s="233"/>
      <c r="H8" s="227"/>
      <c r="I8" s="227"/>
      <c r="J8" s="227"/>
      <c r="K8" s="227"/>
      <c r="L8" s="227"/>
    </row>
    <row r="9" spans="1:15" ht="16.5">
      <c r="A9" s="393" t="s">
        <v>371</v>
      </c>
      <c r="B9" s="419">
        <v>880383</v>
      </c>
      <c r="C9" s="232"/>
      <c r="D9" s="233"/>
      <c r="E9" s="420">
        <f t="shared" si="0"/>
        <v>880383</v>
      </c>
      <c r="F9" s="233"/>
      <c r="G9" s="233"/>
      <c r="H9" s="227"/>
      <c r="I9" s="227"/>
      <c r="J9" s="227"/>
      <c r="K9" s="227"/>
      <c r="L9" s="227"/>
    </row>
    <row r="10" spans="1:15">
      <c r="H10" s="227"/>
      <c r="I10" s="227"/>
      <c r="J10" s="227"/>
      <c r="K10" s="227"/>
      <c r="L10" s="227"/>
    </row>
    <row r="11" spans="1:15">
      <c r="A11" t="s">
        <v>380</v>
      </c>
      <c r="H11" s="227"/>
      <c r="I11" s="227"/>
      <c r="J11" s="227"/>
      <c r="K11" s="227"/>
      <c r="L11" s="227"/>
    </row>
    <row r="12" spans="1:15">
      <c r="A12" t="s">
        <v>33</v>
      </c>
      <c r="H12" s="227"/>
      <c r="I12" s="227"/>
      <c r="J12" s="227"/>
      <c r="K12" s="227"/>
      <c r="L12" s="227"/>
    </row>
    <row r="13" spans="1:15">
      <c r="A13" t="s">
        <v>34</v>
      </c>
      <c r="H13" s="227"/>
      <c r="I13" s="227"/>
      <c r="J13" s="227"/>
      <c r="K13" s="227"/>
      <c r="L13" s="227"/>
    </row>
    <row r="14" spans="1:15">
      <c r="G14" s="234"/>
      <c r="H14" s="227"/>
      <c r="I14" s="227"/>
      <c r="J14" s="227"/>
      <c r="K14" s="227"/>
      <c r="L14" s="227"/>
    </row>
    <row r="15" spans="1:15">
      <c r="A15" s="227" t="s">
        <v>35</v>
      </c>
      <c r="F15" s="234"/>
      <c r="I15" s="227"/>
      <c r="J15" s="227"/>
      <c r="K15" s="227"/>
      <c r="L15" s="227"/>
    </row>
    <row r="16" spans="1:15" ht="36">
      <c r="A16" s="210" t="s">
        <v>36</v>
      </c>
      <c r="B16" s="211" t="s">
        <v>37</v>
      </c>
      <c r="C16" s="199" t="s">
        <v>38</v>
      </c>
      <c r="D16" s="199" t="s">
        <v>39</v>
      </c>
      <c r="E16" s="200" t="s">
        <v>40</v>
      </c>
      <c r="F16" s="234"/>
    </row>
    <row r="17" spans="1:6">
      <c r="A17" s="202" t="s">
        <v>41</v>
      </c>
      <c r="B17" s="203">
        <f>'Ap B - Qtr Electric Master'!D11</f>
        <v>10810</v>
      </c>
      <c r="C17" s="203">
        <f>'Ap B - Qtr Electric Master'!F11</f>
        <v>59775</v>
      </c>
      <c r="D17" s="203">
        <f>'Ap B - Qtr Electric Master'!E11</f>
        <v>2094</v>
      </c>
      <c r="E17" s="204">
        <f>C17/D17</f>
        <v>28.545845272206304</v>
      </c>
      <c r="F17" s="234"/>
    </row>
    <row r="18" spans="1:6">
      <c r="A18" s="202" t="s">
        <v>42</v>
      </c>
      <c r="B18" s="203">
        <f>'Ap B - Qtr Electric Master'!D18</f>
        <v>0</v>
      </c>
      <c r="C18" s="203">
        <f>'Ap B - Qtr Electric Master'!F18</f>
        <v>0</v>
      </c>
      <c r="D18" s="203">
        <f>'Ap B - Qtr Electric Master'!E18</f>
        <v>22</v>
      </c>
      <c r="E18" s="204">
        <f t="shared" ref="E18:E23" si="1">C18/D18</f>
        <v>0</v>
      </c>
      <c r="F18" s="234"/>
    </row>
    <row r="19" spans="1:6">
      <c r="A19" s="202" t="s">
        <v>43</v>
      </c>
      <c r="B19" s="203">
        <f>'Ap B - Qtr Electric Master'!D16</f>
        <v>29</v>
      </c>
      <c r="C19" s="203">
        <f>'Ap B - Qtr Electric Master'!F16</f>
        <v>312</v>
      </c>
      <c r="D19" s="203">
        <f>'Ap B - Qtr Electric Master'!E16</f>
        <v>246</v>
      </c>
      <c r="E19" s="204">
        <f>C19/D19</f>
        <v>1.2682926829268293</v>
      </c>
      <c r="F19" s="234"/>
    </row>
    <row r="20" spans="1:6">
      <c r="A20" s="205" t="s">
        <v>44</v>
      </c>
      <c r="B20" s="206">
        <f>SUM(B17:B19)</f>
        <v>10839</v>
      </c>
      <c r="C20" s="206">
        <f t="shared" ref="C20:D20" si="2">SUM(C17:C19)</f>
        <v>60087</v>
      </c>
      <c r="D20" s="206">
        <f t="shared" si="2"/>
        <v>2362</v>
      </c>
      <c r="E20" s="325">
        <f>C20/D20</f>
        <v>25.439034716342082</v>
      </c>
      <c r="F20" s="234"/>
    </row>
    <row r="21" spans="1:6">
      <c r="A21" s="14" t="s">
        <v>114</v>
      </c>
      <c r="B21" s="372">
        <f>'Ap B - Qtr Electric Master'!D20</f>
        <v>642</v>
      </c>
      <c r="C21" s="372">
        <f>'Ap B - Qtr Electric Master'!F20</f>
        <v>815</v>
      </c>
      <c r="D21" s="372">
        <f>'Ap B - Qtr Electric Master'!E20</f>
        <v>757</v>
      </c>
      <c r="E21" s="204">
        <f t="shared" si="1"/>
        <v>1.0766182298546896</v>
      </c>
      <c r="F21" s="234"/>
    </row>
    <row r="22" spans="1:6">
      <c r="A22" s="10" t="s">
        <v>115</v>
      </c>
      <c r="B22" s="372">
        <v>0</v>
      </c>
      <c r="C22" s="372">
        <v>0</v>
      </c>
      <c r="D22" s="372">
        <f>'Ap B - Qtr Electric Master'!E21</f>
        <v>116</v>
      </c>
      <c r="E22" s="204">
        <f>C22/D22</f>
        <v>0</v>
      </c>
      <c r="F22" s="234"/>
    </row>
    <row r="23" spans="1:6">
      <c r="A23" s="202" t="s">
        <v>45</v>
      </c>
      <c r="B23" s="203">
        <f>'Ap B - Qtr Electric Master'!D24</f>
        <v>12</v>
      </c>
      <c r="C23" s="203">
        <f>'Ap B - Qtr Electric Master'!F24</f>
        <v>17</v>
      </c>
      <c r="D23" s="372">
        <f>'Ap B - Qtr Electric Master'!E24</f>
        <v>50</v>
      </c>
      <c r="E23" s="204">
        <f t="shared" si="1"/>
        <v>0.34</v>
      </c>
      <c r="F23" s="234"/>
    </row>
    <row r="24" spans="1:6">
      <c r="A24" s="205" t="s">
        <v>46</v>
      </c>
      <c r="B24" s="206">
        <f>B20+B23+B21+B22</f>
        <v>11493</v>
      </c>
      <c r="C24" s="206">
        <f t="shared" ref="C24:D24" si="3">C20+C23+C21+C22</f>
        <v>60919</v>
      </c>
      <c r="D24" s="206">
        <f t="shared" si="3"/>
        <v>3285</v>
      </c>
      <c r="E24" s="325">
        <f>C24/D24</f>
        <v>18.544596651445968</v>
      </c>
      <c r="F24" s="234"/>
    </row>
    <row r="26" spans="1:6">
      <c r="A26" t="s">
        <v>47</v>
      </c>
    </row>
    <row r="27" spans="1:6" ht="36">
      <c r="A27" s="210" t="s">
        <v>48</v>
      </c>
      <c r="B27" s="211" t="s">
        <v>49</v>
      </c>
      <c r="C27" s="199" t="s">
        <v>50</v>
      </c>
      <c r="D27" s="199" t="s">
        <v>51</v>
      </c>
      <c r="E27" s="200" t="s">
        <v>52</v>
      </c>
    </row>
    <row r="28" spans="1:6">
      <c r="A28" s="202" t="s">
        <v>41</v>
      </c>
      <c r="B28" s="208">
        <f>'Ap B - Qtr Electric Master'!H11</f>
        <v>215.202</v>
      </c>
      <c r="C28" s="208">
        <f>'Ap B - Qtr Electric Master'!J11</f>
        <v>908.88499999999999</v>
      </c>
      <c r="D28" s="208">
        <f>'Ap B - Qtr Electric Master'!I11</f>
        <v>1729.1030000000001</v>
      </c>
      <c r="E28" s="204">
        <f>C28/D28</f>
        <v>0.52563959463374943</v>
      </c>
    </row>
    <row r="29" spans="1:6">
      <c r="A29" s="202" t="s">
        <v>42</v>
      </c>
      <c r="B29" s="208">
        <f>'Ap B - Qtr Electric Master'!H18</f>
        <v>49.691000000000003</v>
      </c>
      <c r="C29" s="208">
        <f>'Ap B - Qtr Electric Master'!J18</f>
        <v>86.331000000000003</v>
      </c>
      <c r="D29" s="208">
        <f>'Ap B - Qtr Electric Master'!I18</f>
        <v>329.79599999999999</v>
      </c>
      <c r="E29" s="204">
        <f t="shared" ref="E29:E30" si="4">C29/D29</f>
        <v>0.26177091292799187</v>
      </c>
    </row>
    <row r="30" spans="1:6">
      <c r="A30" s="202" t="s">
        <v>43</v>
      </c>
      <c r="B30" s="208">
        <f>'Ap B - Qtr Electric Master'!H16</f>
        <v>482.24199999999996</v>
      </c>
      <c r="C30" s="208">
        <f>'Ap B - Qtr Electric Master'!J16</f>
        <v>925.11999999999989</v>
      </c>
      <c r="D30" s="208">
        <f>'Ap B - Qtr Electric Master'!I16</f>
        <v>2153.0280000000002</v>
      </c>
      <c r="E30" s="204">
        <f t="shared" si="4"/>
        <v>0.42968321823961408</v>
      </c>
    </row>
    <row r="31" spans="1:6">
      <c r="A31" s="205" t="s">
        <v>44</v>
      </c>
      <c r="B31" s="209">
        <f>SUM(B28:B30)</f>
        <v>747.13499999999999</v>
      </c>
      <c r="C31" s="209">
        <f t="shared" ref="C31" si="5">SUM(C28:C30)</f>
        <v>1920.3359999999998</v>
      </c>
      <c r="D31" s="209">
        <f>SUM(D28:D30)</f>
        <v>4211.9269999999997</v>
      </c>
      <c r="E31" s="207">
        <f>C31/D31</f>
        <v>0.45592812980851755</v>
      </c>
    </row>
    <row r="32" spans="1:6">
      <c r="A32" s="14" t="s">
        <v>114</v>
      </c>
      <c r="B32" s="208">
        <f>'Ap B - Qtr Electric Master'!H20</f>
        <v>31.236000000000001</v>
      </c>
      <c r="C32" s="208">
        <f>'Ap B - Qtr Electric Master'!J20</f>
        <v>120.242</v>
      </c>
      <c r="D32" s="331">
        <f>'Ap B - Qtr Electric Master'!I20</f>
        <v>358.803</v>
      </c>
      <c r="E32" s="204">
        <f>C32/D32</f>
        <v>0.33511982898693715</v>
      </c>
    </row>
    <row r="33" spans="1:10">
      <c r="A33" s="10" t="s">
        <v>115</v>
      </c>
      <c r="B33" s="208">
        <f>'Ap B - Qtr Electric Master'!H21</f>
        <v>50.384</v>
      </c>
      <c r="C33" s="208">
        <f>'Ap B - Qtr Electric Master'!J21</f>
        <v>86.108000000000004</v>
      </c>
      <c r="D33" s="331">
        <f>'Ap B - Qtr Electric Master'!I21</f>
        <v>407.25299999999999</v>
      </c>
      <c r="E33" s="204">
        <f>C33/D33</f>
        <v>0.21143613429489777</v>
      </c>
    </row>
    <row r="34" spans="1:10">
      <c r="A34" s="202" t="s">
        <v>45</v>
      </c>
      <c r="B34" s="208">
        <f>'Ap B - Qtr Electric Master'!H24</f>
        <v>33.930999999999997</v>
      </c>
      <c r="C34" s="208">
        <f>'Ap B - Qtr Electric Master'!J24</f>
        <v>65.277000000000001</v>
      </c>
      <c r="D34" s="331">
        <f>'Ap B - Qtr Electric Master'!I24</f>
        <v>430</v>
      </c>
      <c r="E34" s="204">
        <f>C34/D34</f>
        <v>0.15180697674418606</v>
      </c>
    </row>
    <row r="35" spans="1:10">
      <c r="A35" s="205" t="s">
        <v>46</v>
      </c>
      <c r="B35" s="209">
        <f>B31+B32+B33+B34</f>
        <v>862.68600000000004</v>
      </c>
      <c r="C35" s="209">
        <f t="shared" ref="C35:D35" si="6">C31+C32+C33+C34</f>
        <v>2191.9629999999997</v>
      </c>
      <c r="D35" s="209">
        <f t="shared" si="6"/>
        <v>5407.9829999999993</v>
      </c>
      <c r="E35" s="207">
        <f>C35/D35</f>
        <v>0.40531987619043919</v>
      </c>
    </row>
    <row r="37" spans="1:10">
      <c r="A37" t="s">
        <v>53</v>
      </c>
    </row>
    <row r="38" spans="1:10" ht="36">
      <c r="A38" s="210" t="s">
        <v>54</v>
      </c>
      <c r="B38" s="211" t="s">
        <v>55</v>
      </c>
      <c r="C38" s="199" t="s">
        <v>56</v>
      </c>
      <c r="D38" s="199" t="s">
        <v>57</v>
      </c>
      <c r="E38" s="200" t="s">
        <v>58</v>
      </c>
    </row>
    <row r="39" spans="1:10">
      <c r="A39" s="202" t="s">
        <v>41</v>
      </c>
      <c r="B39" s="203">
        <f>'Ap B - Qtr Electric Master'!L11</f>
        <v>1793.3000000000002</v>
      </c>
      <c r="C39" s="203">
        <f>'Ap B - Qtr Electric Master'!N11</f>
        <v>3707.7000000000003</v>
      </c>
      <c r="D39" s="203">
        <f>'Ap B - Qtr Electric Master'!M11</f>
        <v>3832</v>
      </c>
      <c r="E39" s="204">
        <f>C39/D39</f>
        <v>0.96756263048016711</v>
      </c>
      <c r="I39" s="224"/>
      <c r="J39" s="224"/>
    </row>
    <row r="40" spans="1:10">
      <c r="A40" s="202" t="s">
        <v>42</v>
      </c>
      <c r="B40" s="203">
        <f>'Ap B - Qtr Electric Master'!L18</f>
        <v>0</v>
      </c>
      <c r="C40" s="203">
        <f>'Ap B - Qtr Electric Master'!N18</f>
        <v>0</v>
      </c>
      <c r="D40" s="203">
        <f>'Ap B - Qtr Electric Master'!M18</f>
        <v>268</v>
      </c>
      <c r="E40" s="204">
        <f t="shared" ref="E40:E41" si="7">C40/D40</f>
        <v>0</v>
      </c>
      <c r="I40" s="235"/>
      <c r="J40" s="235"/>
    </row>
    <row r="41" spans="1:10">
      <c r="A41" s="202" t="s">
        <v>43</v>
      </c>
      <c r="B41" s="203">
        <f>'Ap B - Qtr Electric Master'!L16</f>
        <v>515.6</v>
      </c>
      <c r="C41" s="203">
        <f>'Ap B - Qtr Electric Master'!N16</f>
        <v>917.1</v>
      </c>
      <c r="D41" s="203">
        <f>'Ap B - Qtr Electric Master'!M16</f>
        <v>4907</v>
      </c>
      <c r="E41" s="204">
        <f t="shared" si="7"/>
        <v>0.18689627063378847</v>
      </c>
      <c r="I41" s="37"/>
      <c r="J41" s="236"/>
    </row>
    <row r="42" spans="1:10">
      <c r="A42" s="205" t="s">
        <v>44</v>
      </c>
      <c r="B42" s="206">
        <f>SUM(B39:B41)</f>
        <v>2308.9</v>
      </c>
      <c r="C42" s="206">
        <f t="shared" ref="C42:D42" si="8">SUM(C39:C41)</f>
        <v>4624.8</v>
      </c>
      <c r="D42" s="206">
        <f t="shared" si="8"/>
        <v>9007</v>
      </c>
      <c r="E42" s="207">
        <f>C42/D42</f>
        <v>0.51346730320861556</v>
      </c>
      <c r="G42" s="394"/>
    </row>
    <row r="43" spans="1:10">
      <c r="A43" s="14" t="s">
        <v>114</v>
      </c>
      <c r="B43" s="203"/>
      <c r="C43" s="203"/>
      <c r="D43" s="388" t="s">
        <v>365</v>
      </c>
      <c r="E43" s="389" t="s">
        <v>365</v>
      </c>
    </row>
    <row r="44" spans="1:10">
      <c r="A44" s="10" t="s">
        <v>169</v>
      </c>
      <c r="B44" s="203">
        <v>0</v>
      </c>
      <c r="C44" s="203">
        <v>0</v>
      </c>
      <c r="D44" s="203">
        <f>'Ap B - Qtr Electric Master'!M21</f>
        <v>2169</v>
      </c>
      <c r="E44" s="204">
        <f>C44/D44</f>
        <v>0</v>
      </c>
    </row>
    <row r="45" spans="1:10">
      <c r="A45" s="202" t="s">
        <v>45</v>
      </c>
      <c r="B45" s="203">
        <f>'Ap B - Qtr Electric Master'!L24</f>
        <v>13.5</v>
      </c>
      <c r="C45" s="203">
        <f>'Ap B - Qtr Electric Master'!N24</f>
        <v>19.5</v>
      </c>
      <c r="D45" s="372">
        <f>'Ap B - Qtr Electric Master'!M24</f>
        <v>86.120999999999995</v>
      </c>
      <c r="E45" s="204">
        <f t="shared" ref="E45" si="9">C45/D45</f>
        <v>0.22642561047828058</v>
      </c>
    </row>
    <row r="46" spans="1:10">
      <c r="A46" s="205" t="s">
        <v>46</v>
      </c>
      <c r="B46" s="206">
        <f>B42+B43+B44+B45</f>
        <v>2322.4</v>
      </c>
      <c r="C46" s="206">
        <f>C42+C43+C44+C45</f>
        <v>4644.3</v>
      </c>
      <c r="D46" s="206">
        <f>D42+D45</f>
        <v>9093.1209999999992</v>
      </c>
      <c r="E46" s="207">
        <f>C46/D46</f>
        <v>0.51074872972657026</v>
      </c>
    </row>
    <row r="48" spans="1:10">
      <c r="A48" t="s">
        <v>59</v>
      </c>
    </row>
    <row r="49" spans="1:5" ht="24">
      <c r="A49" s="210" t="s">
        <v>60</v>
      </c>
      <c r="B49" s="211" t="s">
        <v>61</v>
      </c>
      <c r="C49" s="199" t="s">
        <v>62</v>
      </c>
      <c r="D49" s="199" t="s">
        <v>63</v>
      </c>
      <c r="E49" s="200" t="s">
        <v>64</v>
      </c>
    </row>
    <row r="50" spans="1:5">
      <c r="A50" s="202" t="s">
        <v>65</v>
      </c>
      <c r="B50" s="208">
        <v>0</v>
      </c>
      <c r="C50" s="208">
        <v>0</v>
      </c>
      <c r="D50" s="208">
        <v>0</v>
      </c>
      <c r="E50" s="326"/>
    </row>
    <row r="51" spans="1:5">
      <c r="A51" s="202" t="s">
        <v>66</v>
      </c>
      <c r="B51" s="208">
        <f>111572/1000</f>
        <v>111.572</v>
      </c>
      <c r="C51" s="208">
        <f>286383/1000</f>
        <v>286.38299999999998</v>
      </c>
      <c r="D51" s="208">
        <f>(324000+71000)/1000</f>
        <v>395</v>
      </c>
      <c r="E51" s="326">
        <f t="shared" ref="E51:E57" si="10">C51/D51</f>
        <v>0.72502025316455687</v>
      </c>
    </row>
    <row r="52" spans="1:5">
      <c r="A52" s="202" t="s">
        <v>67</v>
      </c>
      <c r="B52" s="208">
        <f>29967/1000</f>
        <v>29.966999999999999</v>
      </c>
      <c r="C52" s="208">
        <f>108179/1000</f>
        <v>108.179</v>
      </c>
      <c r="D52" s="208">
        <f>(173930+16000*2)/1000</f>
        <v>205.93</v>
      </c>
      <c r="E52" s="326">
        <f t="shared" si="10"/>
        <v>0.52531928325159039</v>
      </c>
    </row>
    <row r="53" spans="1:5">
      <c r="A53" s="202" t="s">
        <v>68</v>
      </c>
      <c r="B53" s="208">
        <f>228777/1000</f>
        <v>228.77699999999999</v>
      </c>
      <c r="C53" s="208">
        <f>941912/1000</f>
        <v>941.91200000000003</v>
      </c>
      <c r="D53" s="208">
        <f>(1337674+27000)/1000</f>
        <v>1364.674</v>
      </c>
      <c r="E53" s="326">
        <f t="shared" si="10"/>
        <v>0.69021026267079177</v>
      </c>
    </row>
    <row r="54" spans="1:5">
      <c r="A54" s="202" t="s">
        <v>69</v>
      </c>
      <c r="B54" s="208">
        <f>422675/1000</f>
        <v>422.67500000000001</v>
      </c>
      <c r="C54" s="208">
        <f>783082/1000</f>
        <v>783.08199999999999</v>
      </c>
      <c r="D54" s="208">
        <f>(2535425+300000)/1000</f>
        <v>2835.4250000000002</v>
      </c>
      <c r="E54" s="326">
        <f t="shared" si="10"/>
        <v>0.27617799800735338</v>
      </c>
    </row>
    <row r="55" spans="1:5">
      <c r="A55" s="202" t="s">
        <v>70</v>
      </c>
      <c r="B55" s="208">
        <v>0</v>
      </c>
      <c r="C55" s="208">
        <v>0</v>
      </c>
      <c r="D55" s="208">
        <f>354551/1000</f>
        <v>354.55099999999999</v>
      </c>
      <c r="E55" s="326">
        <f t="shared" si="10"/>
        <v>0</v>
      </c>
    </row>
    <row r="56" spans="1:5">
      <c r="A56" s="202" t="s">
        <v>71</v>
      </c>
      <c r="B56" s="208">
        <f>(9616*3+38464)/1000</f>
        <v>67.311999999999998</v>
      </c>
      <c r="C56" s="208">
        <f>(9616*3+38464)/1000</f>
        <v>67.311999999999998</v>
      </c>
      <c r="D56" s="208">
        <f>209209/1000</f>
        <v>209.209</v>
      </c>
      <c r="E56" s="326">
        <f t="shared" si="10"/>
        <v>0.32174524040552749</v>
      </c>
    </row>
    <row r="57" spans="1:5">
      <c r="A57" s="202" t="s">
        <v>72</v>
      </c>
      <c r="B57" s="208">
        <f>2380/1000</f>
        <v>2.38</v>
      </c>
      <c r="C57" s="208">
        <f>(126+4969)/1000</f>
        <v>5.0949999999999998</v>
      </c>
      <c r="D57" s="208">
        <f>43193/1000</f>
        <v>43.192999999999998</v>
      </c>
      <c r="E57" s="326">
        <f t="shared" si="10"/>
        <v>0.1179589285300859</v>
      </c>
    </row>
    <row r="58" spans="1:5">
      <c r="A58" s="395" t="s">
        <v>372</v>
      </c>
      <c r="B58" s="208">
        <v>0</v>
      </c>
      <c r="C58" s="208">
        <v>17.164999999999999</v>
      </c>
      <c r="D58" s="208">
        <v>0</v>
      </c>
      <c r="E58" s="326" t="s">
        <v>365</v>
      </c>
    </row>
    <row r="59" spans="1:5">
      <c r="A59" s="205" t="s">
        <v>46</v>
      </c>
      <c r="B59" s="209">
        <f>SUM(B50:B58)</f>
        <v>862.68299999999999</v>
      </c>
      <c r="C59" s="209">
        <f>SUM(C50:C58)</f>
        <v>2209.1279999999997</v>
      </c>
      <c r="D59" s="209">
        <f>SUM(D50:D58)</f>
        <v>5407.9820000000009</v>
      </c>
      <c r="E59" s="327">
        <f>C59/D59</f>
        <v>0.40849396318256964</v>
      </c>
    </row>
    <row r="67" spans="1:1">
      <c r="A67" s="22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89A06-E668-4BB2-A9FD-7C8A0814A2B8}">
  <sheetPr>
    <tabColor theme="4" tint="-0.249977111117893"/>
  </sheetPr>
  <dimension ref="B2:O45"/>
  <sheetViews>
    <sheetView topLeftCell="A16" zoomScaleNormal="100" workbookViewId="0">
      <selection activeCell="D20" sqref="D20"/>
    </sheetView>
  </sheetViews>
  <sheetFormatPr defaultRowHeight="14.5"/>
  <cols>
    <col min="1" max="1" width="6.1796875" customWidth="1"/>
    <col min="2" max="2" width="51.26953125" customWidth="1"/>
    <col min="3" max="5" width="13.453125" customWidth="1"/>
    <col min="6" max="6" width="9.36328125" customWidth="1"/>
    <col min="7" max="8" width="13.453125" customWidth="1"/>
    <col min="9" max="9" width="9.54296875" customWidth="1"/>
    <col min="10" max="20" width="11.54296875" customWidth="1"/>
  </cols>
  <sheetData>
    <row r="2" spans="2:15">
      <c r="B2" t="s">
        <v>73</v>
      </c>
    </row>
    <row r="3" spans="2:15" ht="47.15" customHeight="1">
      <c r="B3" s="210" t="s">
        <v>74</v>
      </c>
      <c r="C3" s="211" t="s">
        <v>75</v>
      </c>
      <c r="D3" s="237" t="s">
        <v>76</v>
      </c>
      <c r="E3" s="237" t="s">
        <v>77</v>
      </c>
      <c r="F3" s="224"/>
      <c r="G3" s="224"/>
      <c r="L3" s="224"/>
      <c r="M3" s="224"/>
      <c r="N3" s="224"/>
      <c r="O3" s="224"/>
    </row>
    <row r="4" spans="2:15">
      <c r="B4" s="238" t="s">
        <v>78</v>
      </c>
      <c r="C4" s="203">
        <v>644</v>
      </c>
      <c r="D4" s="203">
        <v>72740</v>
      </c>
      <c r="E4" s="204">
        <v>8.7757549329554128E-3</v>
      </c>
      <c r="F4" s="47"/>
      <c r="G4" s="47"/>
      <c r="I4" s="72"/>
      <c r="J4" s="72"/>
      <c r="L4" s="227"/>
      <c r="M4" s="226"/>
      <c r="N4" s="225"/>
      <c r="O4" s="226"/>
    </row>
    <row r="5" spans="2:15">
      <c r="B5" s="239" t="s">
        <v>79</v>
      </c>
      <c r="C5" s="240">
        <v>565</v>
      </c>
      <c r="D5" s="240">
        <v>64046</v>
      </c>
      <c r="E5" s="75">
        <v>8.8217843425038248E-3</v>
      </c>
      <c r="F5" s="47"/>
      <c r="G5" s="47"/>
      <c r="L5" s="227"/>
    </row>
    <row r="6" spans="2:15">
      <c r="B6" s="238" t="s">
        <v>80</v>
      </c>
      <c r="C6" s="203">
        <v>79</v>
      </c>
      <c r="D6" s="203">
        <v>8694</v>
      </c>
      <c r="E6" s="204">
        <v>9.0867264780308266E-3</v>
      </c>
      <c r="F6" s="47"/>
      <c r="G6" s="47"/>
      <c r="L6" s="227"/>
    </row>
    <row r="7" spans="2:15">
      <c r="B7" s="241" t="s">
        <v>81</v>
      </c>
      <c r="C7" s="242">
        <f>E7*'Ap E - NJ CEA Benchmarks'!H12</f>
        <v>7897.9078972983489</v>
      </c>
      <c r="D7" s="242">
        <f>(1-E7)*'Ap E - NJ CEA Benchmarks'!H12</f>
        <v>1570419.425436035</v>
      </c>
      <c r="E7" s="243">
        <v>5.0040050441683562E-3</v>
      </c>
      <c r="F7" s="244"/>
      <c r="G7" s="244"/>
      <c r="L7" s="227"/>
    </row>
    <row r="8" spans="2:15">
      <c r="H8" s="227"/>
      <c r="I8" s="227"/>
      <c r="J8" s="227"/>
      <c r="K8" s="227"/>
      <c r="L8" s="227"/>
    </row>
    <row r="9" spans="2:15" ht="25.5">
      <c r="B9" s="210"/>
      <c r="C9" s="211" t="s">
        <v>82</v>
      </c>
      <c r="D9" s="211" t="s">
        <v>83</v>
      </c>
      <c r="E9" s="237" t="s">
        <v>84</v>
      </c>
      <c r="F9" s="237" t="s">
        <v>77</v>
      </c>
      <c r="G9" s="211" t="s">
        <v>85</v>
      </c>
      <c r="H9" s="237" t="s">
        <v>86</v>
      </c>
      <c r="I9" s="237" t="s">
        <v>77</v>
      </c>
      <c r="J9" s="227"/>
      <c r="K9" s="227"/>
      <c r="L9" s="227"/>
    </row>
    <row r="10" spans="2:15">
      <c r="B10" s="488" t="s">
        <v>87</v>
      </c>
      <c r="C10" s="488"/>
      <c r="D10" s="488"/>
      <c r="E10" s="488"/>
      <c r="F10" s="488"/>
      <c r="G10" s="488"/>
      <c r="H10" s="488"/>
      <c r="I10" s="488"/>
      <c r="J10" s="227"/>
      <c r="K10" s="227"/>
      <c r="L10" s="227"/>
    </row>
    <row r="11" spans="2:15">
      <c r="B11" s="202" t="s">
        <v>108</v>
      </c>
      <c r="C11" s="202" t="s">
        <v>345</v>
      </c>
      <c r="D11" s="368">
        <f>SUM('[1]Table 7 FULL'!D11:D15)</f>
        <v>39</v>
      </c>
      <c r="E11" s="368">
        <f>SUM('[1]Table 7 FULL'!E11:E15)</f>
        <v>10771</v>
      </c>
      <c r="F11" s="364">
        <f>SUM('[1]Table 7 FULL'!F11:F15)</f>
        <v>8.7446410054015569E-3</v>
      </c>
      <c r="G11" s="368">
        <f>SUM('[1]Table 7 FULL'!G11:G15)</f>
        <v>327</v>
      </c>
      <c r="H11" s="368">
        <f>SUM('[1]Table 7 FULL'!H11:H15)</f>
        <v>59448</v>
      </c>
      <c r="I11" s="364">
        <f>SUM('[1]Table 7 FULL'!I11:I15)</f>
        <v>8.7446410054015551E-3</v>
      </c>
      <c r="J11" s="227"/>
      <c r="K11" s="227"/>
      <c r="L11" s="227"/>
    </row>
    <row r="12" spans="2:15">
      <c r="B12" s="202" t="s">
        <v>182</v>
      </c>
      <c r="C12" s="202" t="s">
        <v>345</v>
      </c>
      <c r="D12" s="317">
        <f>SUM('[1]Table 7 FULL'!D16:D18)</f>
        <v>0</v>
      </c>
      <c r="E12" s="317">
        <f>SUM('[1]Table 7 FULL'!E16:E18)</f>
        <v>0</v>
      </c>
      <c r="F12" s="364">
        <f>SUM('[1]Table 7 FULL'!F16:F18)</f>
        <v>0</v>
      </c>
      <c r="G12" s="317">
        <f>SUM('[1]Table 7 FULL'!G16:G18)</f>
        <v>0</v>
      </c>
      <c r="H12" s="317">
        <f>SUM('[1]Table 7 FULL'!H16:H18)</f>
        <v>0</v>
      </c>
      <c r="I12" s="364">
        <f>SUM('[1]Table 7 FULL'!I16:I18)</f>
        <v>0</v>
      </c>
    </row>
    <row r="13" spans="2:15">
      <c r="B13" s="360" t="s">
        <v>110</v>
      </c>
      <c r="C13" s="202" t="s">
        <v>345</v>
      </c>
      <c r="D13" s="317">
        <f>'[1]Table 7 FULL'!E19</f>
        <v>0</v>
      </c>
      <c r="E13" s="317">
        <f>'[1]Table 7 FULL'!F19</f>
        <v>0</v>
      </c>
      <c r="F13" s="364">
        <f>'[1]Table 7 FULL'!F19</f>
        <v>0</v>
      </c>
      <c r="G13" s="317">
        <f>'[1]Table 7 FULL'!H19</f>
        <v>0</v>
      </c>
      <c r="H13" s="317">
        <f>'[1]Table 7 FULL'!I19</f>
        <v>0</v>
      </c>
      <c r="I13" s="364">
        <f>'[1]Table 7 FULL'!I19</f>
        <v>0</v>
      </c>
    </row>
    <row r="14" spans="2:15">
      <c r="B14" s="202" t="s">
        <v>186</v>
      </c>
      <c r="C14" s="202" t="s">
        <v>345</v>
      </c>
      <c r="D14" s="317">
        <f>'[1]Table 7 FULL'!E20</f>
        <v>0</v>
      </c>
      <c r="E14" s="317">
        <f>'[1]Table 7 FULL'!F20</f>
        <v>0</v>
      </c>
      <c r="F14" s="364">
        <f>'[1]Table 7 FULL'!F20</f>
        <v>0</v>
      </c>
      <c r="G14" s="317">
        <f>'[1]Table 7 FULL'!H20</f>
        <v>0</v>
      </c>
      <c r="H14" s="317">
        <f>'[1]Table 7 FULL'!I20</f>
        <v>0</v>
      </c>
      <c r="I14" s="364">
        <f>'[1]Table 7 FULL'!I20</f>
        <v>0</v>
      </c>
    </row>
    <row r="15" spans="2:15">
      <c r="B15" s="202" t="s">
        <v>370</v>
      </c>
      <c r="C15" s="202" t="s">
        <v>345</v>
      </c>
      <c r="D15" s="317">
        <f>SUM('[1]Table 7 FULL'!D21:D23)</f>
        <v>0</v>
      </c>
      <c r="E15" s="317">
        <f>SUM('[1]Table 7 FULL'!E21:E23)</f>
        <v>29</v>
      </c>
      <c r="F15" s="364">
        <f>SUM('[1]Table 7 FULL'!F21:F23)</f>
        <v>0</v>
      </c>
      <c r="G15" s="317">
        <f>SUM('[1]Table 7 FULL'!G21:G23)</f>
        <v>1</v>
      </c>
      <c r="H15" s="317">
        <f>SUM('[1]Table 7 FULL'!H21:H23)</f>
        <v>311</v>
      </c>
      <c r="I15" s="364">
        <f>SUM('[1]Table 7 FULL'!I21:I23)</f>
        <v>2.0408163265306121E-2</v>
      </c>
    </row>
    <row r="16" spans="2:15">
      <c r="B16" s="202" t="s">
        <v>114</v>
      </c>
      <c r="C16" s="361" t="s">
        <v>347</v>
      </c>
      <c r="D16" s="337">
        <f>'[1]Table 7 FULL'!D24</f>
        <v>1</v>
      </c>
      <c r="E16" s="337">
        <f>'[1]Table 7 FULL'!E24</f>
        <v>641</v>
      </c>
      <c r="F16" s="387">
        <f>'[1]Table 7 FULL'!F24</f>
        <v>1.557632398753894E-3</v>
      </c>
      <c r="G16" s="337">
        <f>'[1]Table 7 FULL'!G24</f>
        <v>1</v>
      </c>
      <c r="H16" s="337">
        <f>'[1]Table 7 FULL'!H24</f>
        <v>814</v>
      </c>
      <c r="I16" s="387">
        <f>'[1]Table 7 FULL'!I24</f>
        <v>1.2269938650306749E-3</v>
      </c>
    </row>
    <row r="17" spans="2:9">
      <c r="B17" s="202" t="s">
        <v>115</v>
      </c>
      <c r="C17" s="361" t="s">
        <v>347</v>
      </c>
      <c r="D17" s="337">
        <f>'[1]Table 7 FULL'!D25</f>
        <v>0</v>
      </c>
      <c r="E17" s="337">
        <f>'[1]Table 7 FULL'!E25</f>
        <v>0</v>
      </c>
      <c r="F17" s="387">
        <f>'[1]Table 7 FULL'!F25</f>
        <v>0</v>
      </c>
      <c r="G17" s="337">
        <f>'[1]Table 7 FULL'!G25</f>
        <v>0</v>
      </c>
      <c r="H17" s="337">
        <f>'[1]Table 7 FULL'!H25</f>
        <v>0</v>
      </c>
      <c r="I17" s="387">
        <f>'[1]Table 7 FULL'!I25</f>
        <v>0</v>
      </c>
    </row>
    <row r="18" spans="2:9">
      <c r="B18" s="362" t="s">
        <v>346</v>
      </c>
      <c r="C18" s="20" t="s">
        <v>348</v>
      </c>
      <c r="D18" s="337">
        <f>'[1]Table 7 FULL'!D26</f>
        <v>12</v>
      </c>
      <c r="E18" s="337">
        <f>'[1]Table 7 FULL'!E26</f>
        <v>0</v>
      </c>
      <c r="F18" s="387">
        <f>'[1]Table 7 FULL'!F26</f>
        <v>1</v>
      </c>
      <c r="G18" s="337">
        <f>'[1]Table 7 FULL'!G26</f>
        <v>17</v>
      </c>
      <c r="H18" s="337">
        <f>'[1]Table 7 FULL'!H26</f>
        <v>0</v>
      </c>
      <c r="I18" s="387">
        <f>'[1]Table 7 FULL'!I26</f>
        <v>1</v>
      </c>
    </row>
    <row r="19" spans="2:9">
      <c r="B19" s="363" t="s">
        <v>88</v>
      </c>
      <c r="C19" s="20"/>
      <c r="D19" s="337">
        <f>SUM(D11:D15)</f>
        <v>39</v>
      </c>
      <c r="E19" s="337">
        <f>SUM(E11:E15)</f>
        <v>10800</v>
      </c>
      <c r="F19" s="364">
        <f>D19/(D19+E19)</f>
        <v>3.5981179075560477E-3</v>
      </c>
      <c r="G19" s="337">
        <f>SUM(G11:G15)</f>
        <v>328</v>
      </c>
      <c r="H19" s="337">
        <f>SUM(H11:H15)</f>
        <v>59759</v>
      </c>
      <c r="I19" s="364">
        <f>G19/(G19+H19)</f>
        <v>5.4587514770249807E-3</v>
      </c>
    </row>
    <row r="20" spans="2:9">
      <c r="B20" s="363" t="s">
        <v>89</v>
      </c>
      <c r="C20" s="20"/>
      <c r="D20" s="337">
        <f>SUM(D16:D18)</f>
        <v>13</v>
      </c>
      <c r="E20" s="337">
        <f>SUM(E16:E18)</f>
        <v>641</v>
      </c>
      <c r="F20" s="364">
        <f t="shared" ref="F20:F21" si="0">D20/(D20+E20)</f>
        <v>1.9877675840978593E-2</v>
      </c>
      <c r="G20" s="337">
        <f>SUM(G16:G18)</f>
        <v>18</v>
      </c>
      <c r="H20" s="337">
        <f>SUM(H16:H18)</f>
        <v>814</v>
      </c>
      <c r="I20" s="364">
        <f>G20/(G20+H20)</f>
        <v>2.1634615384615384E-2</v>
      </c>
    </row>
    <row r="21" spans="2:9">
      <c r="B21" s="363" t="s">
        <v>90</v>
      </c>
      <c r="C21" s="20"/>
      <c r="D21" s="337">
        <f>D19+D20</f>
        <v>52</v>
      </c>
      <c r="E21" s="337">
        <f>E19+E20</f>
        <v>11441</v>
      </c>
      <c r="F21" s="364">
        <f t="shared" si="0"/>
        <v>4.5244931697555031E-3</v>
      </c>
      <c r="G21" s="337">
        <f>G19+G20</f>
        <v>346</v>
      </c>
      <c r="H21" s="337">
        <f>H19+H20</f>
        <v>60573</v>
      </c>
      <c r="I21" s="364">
        <f t="shared" ref="I21" si="1">G21/(G21+H21)</f>
        <v>5.6796730084210179E-3</v>
      </c>
    </row>
    <row r="22" spans="2:9">
      <c r="B22" s="489" t="s">
        <v>20</v>
      </c>
      <c r="C22" s="489"/>
      <c r="D22" s="489"/>
      <c r="E22" s="489"/>
      <c r="F22" s="489"/>
      <c r="G22" s="489"/>
      <c r="H22" s="489"/>
      <c r="I22" s="489"/>
    </row>
    <row r="23" spans="2:9">
      <c r="B23" s="202" t="s">
        <v>108</v>
      </c>
      <c r="C23" s="202" t="s">
        <v>345</v>
      </c>
      <c r="D23" s="365">
        <f>SUM('[1]Table 7 FULL'!D31:D35)</f>
        <v>0</v>
      </c>
      <c r="E23" s="365">
        <f>SUM('[1]Table 7 FULL'!E31:E35)</f>
        <v>118756</v>
      </c>
      <c r="F23" s="364">
        <f>SUM('[1]Table 7 FULL'!F31:F35)</f>
        <v>0</v>
      </c>
      <c r="G23" s="365">
        <f>SUM('[1]Table 7 FULL'!G31:G35)</f>
        <v>136</v>
      </c>
      <c r="H23" s="365">
        <f>SUM('[1]Table 7 FULL'!H31:H35)</f>
        <v>724040</v>
      </c>
      <c r="I23" s="364">
        <f>SUM('[1]Table 7 FULL'!I31:I35)</f>
        <v>8.7446410054015569E-3</v>
      </c>
    </row>
    <row r="24" spans="2:9">
      <c r="B24" s="202" t="s">
        <v>182</v>
      </c>
      <c r="C24" s="202" t="s">
        <v>345</v>
      </c>
      <c r="D24" s="365">
        <f>SUM('[1]Table 7 FULL'!D36:D38)</f>
        <v>0</v>
      </c>
      <c r="E24" s="365">
        <f>SUM('[1]Table 7 FULL'!E36:E38)</f>
        <v>96446</v>
      </c>
      <c r="F24" s="364">
        <f>SUM('[1]Table 7 FULL'!F36:F38)</f>
        <v>0</v>
      </c>
      <c r="G24" s="365">
        <f>SUM('[1]Table 7 FULL'!G36:G38)</f>
        <v>0</v>
      </c>
      <c r="H24" s="365">
        <f>SUM('[1]Table 7 FULL'!H36:H38)</f>
        <v>184709</v>
      </c>
      <c r="I24" s="364">
        <f>SUM('[1]Table 7 FULL'!I36:I38)</f>
        <v>0</v>
      </c>
    </row>
    <row r="25" spans="2:9">
      <c r="B25" s="360" t="s">
        <v>110</v>
      </c>
      <c r="C25" s="202" t="s">
        <v>345</v>
      </c>
      <c r="D25" s="365">
        <f>'[1]Table 7 FULL'!D39</f>
        <v>0</v>
      </c>
      <c r="E25" s="365">
        <f>'[1]Table 7 FULL'!E39</f>
        <v>49691</v>
      </c>
      <c r="F25" s="364">
        <f>'[1]Table 7 FULL'!F39</f>
        <v>0</v>
      </c>
      <c r="G25" s="365">
        <f>'[1]Table 7 FULL'!G39</f>
        <v>0</v>
      </c>
      <c r="H25" s="365">
        <f>'[1]Table 7 FULL'!H39</f>
        <v>86331</v>
      </c>
      <c r="I25" s="364">
        <f>'[1]Table 7 FULL'!I39</f>
        <v>0</v>
      </c>
    </row>
    <row r="26" spans="2:9">
      <c r="B26" s="202" t="s">
        <v>186</v>
      </c>
      <c r="C26" s="202" t="s">
        <v>345</v>
      </c>
      <c r="D26" s="365">
        <f>'[1]Table 7 FULL'!D40</f>
        <v>0</v>
      </c>
      <c r="E26" s="365">
        <f>'[1]Table 7 FULL'!E40</f>
        <v>77412</v>
      </c>
      <c r="F26" s="364">
        <f>'[1]Table 7 FULL'!F40</f>
        <v>0</v>
      </c>
      <c r="G26" s="365">
        <f>'[1]Table 7 FULL'!G40</f>
        <v>0</v>
      </c>
      <c r="H26" s="365">
        <f>'[1]Table 7 FULL'!H40</f>
        <v>266787</v>
      </c>
      <c r="I26" s="364">
        <f>'[1]Table 7 FULL'!I40</f>
        <v>0</v>
      </c>
    </row>
    <row r="27" spans="2:9">
      <c r="B27" s="202" t="s">
        <v>370</v>
      </c>
      <c r="C27" s="202" t="s">
        <v>345</v>
      </c>
      <c r="D27" s="365">
        <f>SUM('[1]Table 7 FULL'!D41:D43)</f>
        <v>0</v>
      </c>
      <c r="E27" s="365">
        <f>SUM('[1]Table 7 FULL'!E41:E43)</f>
        <v>404830</v>
      </c>
      <c r="F27" s="364">
        <f>SUM('[1]Table 7 FULL'!F41:F43)</f>
        <v>0</v>
      </c>
      <c r="G27" s="365">
        <f>SUM('[1]Table 7 FULL'!G41:G43)</f>
        <v>6919</v>
      </c>
      <c r="H27" s="365">
        <f>SUM('[1]Table 7 FULL'!H41:H43)</f>
        <v>651414</v>
      </c>
      <c r="I27" s="364">
        <f>SUM('[1]Table 7 FULL'!I41:I43)</f>
        <v>1.2684251644123021E-2</v>
      </c>
    </row>
    <row r="28" spans="2:9">
      <c r="B28" s="202" t="s">
        <v>114</v>
      </c>
      <c r="C28" s="361" t="s">
        <v>347</v>
      </c>
      <c r="D28" s="365">
        <f>'[1]Table 7 FULL'!D44</f>
        <v>49</v>
      </c>
      <c r="E28" s="365">
        <f>'[1]Table 7 FULL'!E44</f>
        <v>31187</v>
      </c>
      <c r="F28" s="387">
        <f>'[1]Table 7 FULL'!F44</f>
        <v>1.557632398753894E-3</v>
      </c>
      <c r="G28" s="365">
        <f>'[1]Table 7 FULL'!G44</f>
        <v>148</v>
      </c>
      <c r="H28" s="365">
        <f>'[1]Table 7 FULL'!H44</f>
        <v>120094</v>
      </c>
      <c r="I28" s="387">
        <f>'[1]Table 7 FULL'!I44</f>
        <v>1.2269938650306749E-3</v>
      </c>
    </row>
    <row r="29" spans="2:9">
      <c r="B29" s="202" t="s">
        <v>115</v>
      </c>
      <c r="C29" s="361" t="s">
        <v>347</v>
      </c>
      <c r="D29" s="365">
        <f>'[1]Table 7 FULL'!D45</f>
        <v>0</v>
      </c>
      <c r="E29" s="365">
        <f>'[1]Table 7 FULL'!E45</f>
        <v>50384</v>
      </c>
      <c r="F29" s="387">
        <f>'[1]Table 7 FULL'!F45</f>
        <v>0</v>
      </c>
      <c r="G29" s="365">
        <f>'[1]Table 7 FULL'!G45</f>
        <v>0</v>
      </c>
      <c r="H29" s="365">
        <f>'[1]Table 7 FULL'!H45</f>
        <v>86108</v>
      </c>
      <c r="I29" s="387">
        <f>'[1]Table 7 FULL'!I45</f>
        <v>0</v>
      </c>
    </row>
    <row r="30" spans="2:9">
      <c r="B30" s="362" t="s">
        <v>346</v>
      </c>
      <c r="C30" s="20" t="s">
        <v>348</v>
      </c>
      <c r="D30" s="365">
        <f>'[1]Table 7 FULL'!D46</f>
        <v>33931</v>
      </c>
      <c r="E30" s="365">
        <f>'[1]Table 7 FULL'!E46</f>
        <v>0</v>
      </c>
      <c r="F30" s="387">
        <f>'[1]Table 7 FULL'!F46</f>
        <v>1</v>
      </c>
      <c r="G30" s="365">
        <f>'[1]Table 7 FULL'!G46</f>
        <v>65277</v>
      </c>
      <c r="H30" s="365">
        <f>'[1]Table 7 FULL'!H46</f>
        <v>0</v>
      </c>
      <c r="I30" s="387">
        <f>'[1]Table 7 FULL'!I46</f>
        <v>1</v>
      </c>
    </row>
    <row r="31" spans="2:9">
      <c r="B31" s="363" t="s">
        <v>91</v>
      </c>
      <c r="C31" s="20"/>
      <c r="D31" s="366">
        <f>SUM(D23:D27)</f>
        <v>0</v>
      </c>
      <c r="E31" s="366">
        <f>SUM(E23:E27)</f>
        <v>747135</v>
      </c>
      <c r="F31" s="364">
        <f>D31/(D31+E31)</f>
        <v>0</v>
      </c>
      <c r="G31" s="366">
        <f>SUM(G23:G27)</f>
        <v>7055</v>
      </c>
      <c r="H31" s="366">
        <f>SUM(H23:H27)</f>
        <v>1913281</v>
      </c>
      <c r="I31" s="364">
        <f>G31/(G31+H31)</f>
        <v>3.6738362453237351E-3</v>
      </c>
    </row>
    <row r="32" spans="2:9">
      <c r="B32" s="363" t="s">
        <v>92</v>
      </c>
      <c r="C32" s="20"/>
      <c r="D32" s="366">
        <f>SUM(D28:D30)</f>
        <v>33980</v>
      </c>
      <c r="E32" s="366">
        <f>SUM(E28:E30)</f>
        <v>81571</v>
      </c>
      <c r="F32" s="364">
        <f t="shared" ref="F32:F33" si="2">D32/(D32+E32)</f>
        <v>0.29406928542375227</v>
      </c>
      <c r="G32" s="366">
        <f>SUM(G28:G30)</f>
        <v>65425</v>
      </c>
      <c r="H32" s="366">
        <f>SUM(H28:H30)</f>
        <v>206202</v>
      </c>
      <c r="I32" s="364">
        <f t="shared" ref="I32:I33" si="3">G32/(G32+H32)</f>
        <v>0.24086338986919562</v>
      </c>
    </row>
    <row r="33" spans="2:9">
      <c r="B33" s="363" t="s">
        <v>93</v>
      </c>
      <c r="C33" s="20"/>
      <c r="D33" s="366">
        <f>D31+D32</f>
        <v>33980</v>
      </c>
      <c r="E33" s="366">
        <f>E31+E32</f>
        <v>828706</v>
      </c>
      <c r="F33" s="364">
        <f t="shared" si="2"/>
        <v>3.938860721050301E-2</v>
      </c>
      <c r="G33" s="366">
        <f>G31+G32</f>
        <v>72480</v>
      </c>
      <c r="H33" s="366">
        <f>H31+H32</f>
        <v>2119483</v>
      </c>
      <c r="I33" s="364">
        <f t="shared" si="3"/>
        <v>3.3066251574501944E-2</v>
      </c>
    </row>
    <row r="34" spans="2:9">
      <c r="B34" s="489" t="s">
        <v>94</v>
      </c>
      <c r="C34" s="489"/>
      <c r="D34" s="489"/>
      <c r="E34" s="489"/>
      <c r="F34" s="489"/>
      <c r="G34" s="489"/>
      <c r="H34" s="489"/>
      <c r="I34" s="489"/>
    </row>
    <row r="35" spans="2:9">
      <c r="B35" s="202" t="s">
        <v>108</v>
      </c>
      <c r="C35" s="202" t="s">
        <v>345</v>
      </c>
      <c r="D35" s="367">
        <f>SUM('[1]Table 7 FULL'!D51:D55)</f>
        <v>3.3</v>
      </c>
      <c r="E35" s="367">
        <f>SUM('[1]Table 7 FULL'!E51:E55)</f>
        <v>1790.0000000000002</v>
      </c>
      <c r="F35" s="364">
        <f>SUM('[1]Table 7 FULL'!F51:F55)</f>
        <v>8.7446410054015569E-3</v>
      </c>
      <c r="G35" s="367">
        <f>SUM('[1]Table 7 FULL'!G51:G55)</f>
        <v>4.0999999999999996</v>
      </c>
      <c r="H35" s="367">
        <f>SUM('[1]Table 7 FULL'!H51:H55)</f>
        <v>3703.6000000000004</v>
      </c>
      <c r="I35" s="364">
        <f>SUM('[1]Table 7 FULL'!I51:I55)</f>
        <v>8.7446410054015569E-3</v>
      </c>
    </row>
    <row r="36" spans="2:9">
      <c r="B36" s="202" t="s">
        <v>182</v>
      </c>
      <c r="C36" s="202" t="s">
        <v>345</v>
      </c>
      <c r="D36" s="367">
        <f>SUM('[1]Table 7 FULL'!D56:D58)</f>
        <v>0</v>
      </c>
      <c r="E36" s="367">
        <f>SUM('[1]Table 7 FULL'!E56:E58)</f>
        <v>0</v>
      </c>
      <c r="F36" s="364">
        <f>SUM('[1]Table 7 FULL'!G56:G58)</f>
        <v>0</v>
      </c>
      <c r="G36" s="367">
        <f>SUM('[1]Table 7 FULL'!G56:G58)</f>
        <v>0</v>
      </c>
      <c r="H36" s="367">
        <f>SUM('[1]Table 7 FULL'!H56:H58)</f>
        <v>0</v>
      </c>
      <c r="I36" s="364">
        <f>SUM('[1]Table 7 FULL'!J56:J58)</f>
        <v>0</v>
      </c>
    </row>
    <row r="37" spans="2:9">
      <c r="B37" s="360" t="s">
        <v>110</v>
      </c>
      <c r="C37" s="202" t="s">
        <v>345</v>
      </c>
      <c r="D37" s="367">
        <f>'[1]Table 7 FULL'!D59</f>
        <v>0</v>
      </c>
      <c r="E37" s="367">
        <f>'[1]Table 7 FULL'!E59</f>
        <v>0</v>
      </c>
      <c r="F37" s="390">
        <f>'[1]Table 7 FULL'!F59</f>
        <v>0</v>
      </c>
      <c r="G37" s="367">
        <f>'[1]Table 7 FULL'!G59</f>
        <v>0</v>
      </c>
      <c r="H37" s="367">
        <f>'[1]Table 7 FULL'!H59</f>
        <v>0</v>
      </c>
      <c r="I37" s="390">
        <f>'[1]Table 7 FULL'!I59</f>
        <v>0</v>
      </c>
    </row>
    <row r="38" spans="2:9">
      <c r="B38" s="202" t="s">
        <v>186</v>
      </c>
      <c r="C38" s="202" t="s">
        <v>345</v>
      </c>
      <c r="D38" s="367">
        <f>'[1]Table 7 FULL'!D60</f>
        <v>0</v>
      </c>
      <c r="E38" s="367">
        <f>'[1]Table 7 FULL'!E60</f>
        <v>0</v>
      </c>
      <c r="F38" s="390">
        <f>'[1]Table 7 FULL'!F60</f>
        <v>0</v>
      </c>
      <c r="G38" s="367">
        <f>'[1]Table 7 FULL'!G60</f>
        <v>0</v>
      </c>
      <c r="H38" s="367">
        <f>'[1]Table 7 FULL'!H60</f>
        <v>0</v>
      </c>
      <c r="I38" s="390">
        <f>'[1]Table 7 FULL'!I60</f>
        <v>0</v>
      </c>
    </row>
    <row r="39" spans="2:9">
      <c r="B39" s="202" t="s">
        <v>370</v>
      </c>
      <c r="C39" s="202" t="s">
        <v>345</v>
      </c>
      <c r="D39" s="367">
        <f>SUM('[1]Table 7 FULL'!D61:D63)</f>
        <v>0</v>
      </c>
      <c r="E39" s="367">
        <f>SUM('[1]Table 7 FULL'!E61:E63)</f>
        <v>515.6</v>
      </c>
      <c r="F39" s="390">
        <f>SUM('[1]Table 7 FULL'!F61:F63)</f>
        <v>0</v>
      </c>
      <c r="G39" s="367">
        <f>SUM('[1]Table 7 FULL'!G61:G63)</f>
        <v>8.1999999999999993</v>
      </c>
      <c r="H39" s="367">
        <f>SUM('[1]Table 7 FULL'!H61:H63)</f>
        <v>908.9</v>
      </c>
      <c r="I39" s="390">
        <f>SUM('[1]Table 7 FULL'!I61:I63)</f>
        <v>1.011851389568952E-2</v>
      </c>
    </row>
    <row r="40" spans="2:9">
      <c r="B40" s="202" t="s">
        <v>114</v>
      </c>
      <c r="C40" s="361" t="s">
        <v>347</v>
      </c>
      <c r="D40" s="367">
        <f>'[1]Table 7 FULL'!D64</f>
        <v>0</v>
      </c>
      <c r="E40" s="367">
        <f>'[1]Table 7 FULL'!E64</f>
        <v>0</v>
      </c>
      <c r="F40" s="390">
        <f>'[1]Table 7 FULL'!F64</f>
        <v>0</v>
      </c>
      <c r="G40" s="367">
        <f>'[1]Table 7 FULL'!G64</f>
        <v>0</v>
      </c>
      <c r="H40" s="367">
        <f>'[1]Table 7 FULL'!H64</f>
        <v>0</v>
      </c>
      <c r="I40" s="390">
        <f>'[1]Table 7 FULL'!I64</f>
        <v>0</v>
      </c>
    </row>
    <row r="41" spans="2:9">
      <c r="B41" s="202" t="s">
        <v>115</v>
      </c>
      <c r="C41" s="361" t="s">
        <v>347</v>
      </c>
      <c r="D41" s="367">
        <f>'[1]Table 7 FULL'!D65</f>
        <v>0</v>
      </c>
      <c r="E41" s="367">
        <f>'[1]Table 7 FULL'!E65</f>
        <v>0</v>
      </c>
      <c r="F41" s="390">
        <f>'[1]Table 7 FULL'!F65</f>
        <v>0</v>
      </c>
      <c r="G41" s="367">
        <f>'[1]Table 7 FULL'!G65</f>
        <v>0</v>
      </c>
      <c r="H41" s="367">
        <f>'[1]Table 7 FULL'!H65</f>
        <v>0</v>
      </c>
      <c r="I41" s="390">
        <f>'[1]Table 7 FULL'!I65</f>
        <v>0</v>
      </c>
    </row>
    <row r="42" spans="2:9">
      <c r="B42" s="362" t="s">
        <v>346</v>
      </c>
      <c r="C42" s="20" t="s">
        <v>348</v>
      </c>
      <c r="D42" s="367">
        <f>'[1]Table 7 FULL'!D66</f>
        <v>13.5</v>
      </c>
      <c r="E42" s="367">
        <f>'[1]Table 7 FULL'!E66</f>
        <v>0</v>
      </c>
      <c r="F42" s="390">
        <f>'[1]Table 7 FULL'!F66</f>
        <v>1</v>
      </c>
      <c r="G42" s="367">
        <f>'[1]Table 7 FULL'!G66</f>
        <v>19.5</v>
      </c>
      <c r="H42" s="367">
        <f>'[1]Table 7 FULL'!H66</f>
        <v>0</v>
      </c>
      <c r="I42" s="390">
        <f>'[1]Table 7 FULL'!I66</f>
        <v>1</v>
      </c>
    </row>
    <row r="43" spans="2:9">
      <c r="B43" s="363" t="s">
        <v>95</v>
      </c>
      <c r="C43" s="20"/>
      <c r="D43" s="337">
        <f>SUM(D35:D39)</f>
        <v>3.3</v>
      </c>
      <c r="E43" s="337">
        <f>SUM(E35:E39)</f>
        <v>2305.6000000000004</v>
      </c>
      <c r="F43" s="364">
        <f>D43/(D43+E43)</f>
        <v>1.4292520247737013E-3</v>
      </c>
      <c r="G43" s="337">
        <f>SUM(G35:G39)</f>
        <v>12.299999999999999</v>
      </c>
      <c r="H43" s="337">
        <f>SUM(H35:H39)</f>
        <v>4612.5</v>
      </c>
      <c r="I43" s="364">
        <f>G43/(G43+H43)</f>
        <v>2.6595744680851059E-3</v>
      </c>
    </row>
    <row r="44" spans="2:9">
      <c r="B44" s="363" t="s">
        <v>96</v>
      </c>
      <c r="C44" s="20"/>
      <c r="D44" s="337">
        <f>SUM(D40:D42)</f>
        <v>13.5</v>
      </c>
      <c r="E44" s="337">
        <f>SUM(E40:E42)</f>
        <v>0</v>
      </c>
      <c r="F44" s="364">
        <f t="shared" ref="F44:F45" si="4">D44/(D44+E44)</f>
        <v>1</v>
      </c>
      <c r="G44" s="337">
        <f>SUM(G40:G42)</f>
        <v>19.5</v>
      </c>
      <c r="H44" s="337">
        <f>SUM(H40:H42)</f>
        <v>0</v>
      </c>
      <c r="I44" s="364">
        <f t="shared" ref="I44:I45" si="5">G44/(G44+H44)</f>
        <v>1</v>
      </c>
    </row>
    <row r="45" spans="2:9">
      <c r="B45" s="363" t="s">
        <v>97</v>
      </c>
      <c r="C45" s="20"/>
      <c r="D45" s="337">
        <f>D43+D44</f>
        <v>16.8</v>
      </c>
      <c r="E45" s="337">
        <f>E43+E44</f>
        <v>2305.6000000000004</v>
      </c>
      <c r="F45" s="364">
        <f t="shared" si="4"/>
        <v>7.2338959696865296E-3</v>
      </c>
      <c r="G45" s="337">
        <f>G43+G44</f>
        <v>31.799999999999997</v>
      </c>
      <c r="H45" s="337">
        <f>H43+H44</f>
        <v>4612.5</v>
      </c>
      <c r="I45" s="364">
        <f t="shared" si="5"/>
        <v>6.847102900329435E-3</v>
      </c>
    </row>
  </sheetData>
  <mergeCells count="3">
    <mergeCell ref="B10:I10"/>
    <mergeCell ref="B22:I22"/>
    <mergeCell ref="B34:I3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V12"/>
  <sheetViews>
    <sheetView zoomScaleNormal="100" workbookViewId="0">
      <selection activeCell="L27" sqref="L27"/>
    </sheetView>
  </sheetViews>
  <sheetFormatPr defaultRowHeight="14.5"/>
  <cols>
    <col min="1" max="1" width="4.81640625" customWidth="1"/>
    <col min="2" max="2" width="34.7265625" customWidth="1"/>
    <col min="3" max="14" width="9.54296875" customWidth="1"/>
  </cols>
  <sheetData>
    <row r="1" spans="1:22">
      <c r="A1" s="227"/>
      <c r="B1" s="227"/>
      <c r="C1" s="227"/>
    </row>
    <row r="2" spans="1:22" ht="15" thickBot="1">
      <c r="A2" s="227"/>
      <c r="B2" t="s">
        <v>98</v>
      </c>
    </row>
    <row r="3" spans="1:22">
      <c r="A3" s="227"/>
      <c r="B3" s="490" t="s">
        <v>99</v>
      </c>
      <c r="C3" s="492" t="s">
        <v>100</v>
      </c>
      <c r="D3" s="493"/>
      <c r="E3" s="493"/>
      <c r="F3" s="493"/>
      <c r="G3" s="493"/>
      <c r="H3" s="494"/>
      <c r="I3" s="492" t="s">
        <v>101</v>
      </c>
      <c r="J3" s="493"/>
      <c r="K3" s="493"/>
      <c r="L3" s="493"/>
      <c r="M3" s="493"/>
      <c r="N3" s="494"/>
    </row>
    <row r="4" spans="1:22">
      <c r="A4" s="227"/>
      <c r="B4" s="491"/>
      <c r="C4" s="482" t="s">
        <v>102</v>
      </c>
      <c r="D4" s="483" t="s">
        <v>103</v>
      </c>
      <c r="E4" s="483" t="s">
        <v>104</v>
      </c>
      <c r="F4" s="484" t="s">
        <v>105</v>
      </c>
      <c r="G4" s="485" t="s">
        <v>106</v>
      </c>
      <c r="H4" s="486" t="s">
        <v>107</v>
      </c>
      <c r="I4" s="482" t="s">
        <v>102</v>
      </c>
      <c r="J4" s="483" t="s">
        <v>103</v>
      </c>
      <c r="K4" s="483" t="s">
        <v>104</v>
      </c>
      <c r="L4" s="484" t="s">
        <v>105</v>
      </c>
      <c r="M4" s="485" t="s">
        <v>106</v>
      </c>
      <c r="N4" s="486" t="s">
        <v>107</v>
      </c>
    </row>
    <row r="5" spans="1:22">
      <c r="B5" s="328" t="s">
        <v>108</v>
      </c>
      <c r="C5" s="464">
        <v>4.05</v>
      </c>
      <c r="D5" s="465">
        <v>5.74</v>
      </c>
      <c r="E5" s="465">
        <v>2.15</v>
      </c>
      <c r="F5" s="466">
        <v>0.67</v>
      </c>
      <c r="G5" s="466">
        <v>2.14</v>
      </c>
      <c r="H5" s="467">
        <v>3.95</v>
      </c>
      <c r="I5" s="458">
        <f>INDEX('[2]AP H - CostTest'!$I$49:$P$49,MATCH($B5,'[2]AP H - CostTest'!$I$3:$P$3,0))</f>
        <v>4.2727175003539024</v>
      </c>
      <c r="J5" s="459">
        <f>INDEX('[2]AP H - CostTest'!$I$23:$P$23,MATCH($B5,'[2]AP H - CostTest'!$I$3:$P$3,0))</f>
        <v>6.3205825406110376</v>
      </c>
      <c r="K5" s="459">
        <f>INDEX('[2]AP H - CostTest'!$I$26:$P$26,MATCH($B5,'[2]AP H - CostTest'!$I$3:$P$3,0))</f>
        <v>2.9899102965454203</v>
      </c>
      <c r="L5" s="468">
        <f>INDEX('[2]AP H - CostTest'!$I$31:$P$31,MATCH($B5,'[2]AP H - CostTest'!$I$3:$P$3,0))</f>
        <v>1.0192134266388655</v>
      </c>
      <c r="M5" s="468">
        <f>INDEX('[2]AP H - CostTest'!$I$18:$P$18,MATCH($B5,'[2]AP H - CostTest'!$I$3:$P$3,0))</f>
        <v>2.4086285288605405</v>
      </c>
      <c r="N5" s="469">
        <f>'[2]Program-Level'!AA25</f>
        <v>4.2442190830189226</v>
      </c>
      <c r="P5" s="487"/>
      <c r="Q5" s="487"/>
      <c r="R5" s="487"/>
      <c r="S5" s="487"/>
      <c r="T5" s="487"/>
      <c r="U5" s="487"/>
      <c r="V5" s="487"/>
    </row>
    <row r="6" spans="1:22">
      <c r="B6" s="328" t="s">
        <v>109</v>
      </c>
      <c r="C6" s="464">
        <v>0.71</v>
      </c>
      <c r="D6" s="465">
        <v>0.17</v>
      </c>
      <c r="E6" s="465">
        <v>1.29</v>
      </c>
      <c r="F6" s="466">
        <v>0.61</v>
      </c>
      <c r="G6" s="466">
        <v>0.36</v>
      </c>
      <c r="H6" s="467">
        <v>0.7</v>
      </c>
      <c r="I6" s="458">
        <f>INDEX('[2]AP H - CostTest'!$I$49:$P$49,MATCH($B6,'[2]AP H - CostTest'!$I$3:$P$3,0))</f>
        <v>0</v>
      </c>
      <c r="J6" s="459" t="str">
        <f>INDEX('[2]AP H - CostTest'!$I$23:$P$23,MATCH($B6,'[2]AP H - CostTest'!$I$3:$P$3,0))</f>
        <v>n/a</v>
      </c>
      <c r="K6" s="459">
        <f>INDEX('[2]AP H - CostTest'!$I$26:$P$26,MATCH($B6,'[2]AP H - CostTest'!$I$3:$P$3,0))</f>
        <v>0</v>
      </c>
      <c r="L6" s="468">
        <f>INDEX('[2]AP H - CostTest'!$I$31:$P$31,MATCH($B6,'[2]AP H - CostTest'!$I$3:$P$3,0))</f>
        <v>0</v>
      </c>
      <c r="M6" s="468">
        <f>INDEX('[2]AP H - CostTest'!$I$18:$P$18,MATCH($B6,'[2]AP H - CostTest'!$I$3:$P$3,0))</f>
        <v>0</v>
      </c>
      <c r="N6" s="469">
        <f>'[2]Program-Level'!AA26</f>
        <v>0</v>
      </c>
      <c r="P6" s="487"/>
      <c r="Q6" s="487"/>
      <c r="R6" s="487"/>
      <c r="S6" s="487"/>
      <c r="T6" s="487"/>
      <c r="U6" s="487"/>
    </row>
    <row r="7" spans="1:22">
      <c r="B7" s="328" t="s">
        <v>110</v>
      </c>
      <c r="C7" s="464">
        <v>1.19</v>
      </c>
      <c r="D7" s="465">
        <v>1.82</v>
      </c>
      <c r="E7" s="465">
        <v>0.25</v>
      </c>
      <c r="F7" s="466">
        <v>0.19</v>
      </c>
      <c r="G7" s="466">
        <v>0.56999999999999995</v>
      </c>
      <c r="H7" s="467">
        <v>1.18</v>
      </c>
      <c r="I7" s="458">
        <f>INDEX('[2]AP H - CostTest'!$I$49:$P$49,MATCH($B7,'[2]AP H - CostTest'!$I$3:$P$3,0))</f>
        <v>0</v>
      </c>
      <c r="J7" s="459" t="str">
        <f>INDEX('[2]AP H - CostTest'!$I$23:$P$23,MATCH($B7,'[2]AP H - CostTest'!$I$3:$P$3,0))</f>
        <v>n/a</v>
      </c>
      <c r="K7" s="459">
        <f>INDEX('[2]AP H - CostTest'!$I$26:$P$26,MATCH($B7,'[2]AP H - CostTest'!$I$3:$P$3,0))</f>
        <v>0</v>
      </c>
      <c r="L7" s="468">
        <f>INDEX('[2]AP H - CostTest'!$I$31:$P$31,MATCH($B7,'[2]AP H - CostTest'!$I$3:$P$3,0))</f>
        <v>0</v>
      </c>
      <c r="M7" s="468">
        <f>INDEX('[2]AP H - CostTest'!$I$18:$P$18,MATCH($B7,'[2]AP H - CostTest'!$I$3:$P$3,0))</f>
        <v>0</v>
      </c>
      <c r="N7" s="469">
        <f>'[2]Program-Level'!AA27</f>
        <v>0</v>
      </c>
      <c r="P7" s="487"/>
      <c r="Q7" s="487"/>
      <c r="R7" s="487"/>
      <c r="S7" s="487"/>
      <c r="T7" s="487"/>
      <c r="U7" s="487"/>
    </row>
    <row r="8" spans="1:22">
      <c r="B8" s="328" t="s">
        <v>111</v>
      </c>
      <c r="C8" s="464">
        <v>2.1</v>
      </c>
      <c r="D8" s="465">
        <v>2.4</v>
      </c>
      <c r="E8" s="465">
        <v>1.04</v>
      </c>
      <c r="F8" s="466">
        <v>0.44</v>
      </c>
      <c r="G8" s="466">
        <v>1.1100000000000001</v>
      </c>
      <c r="H8" s="467">
        <v>2.04</v>
      </c>
      <c r="I8" s="458">
        <f>INDEX('[2]AP H - CostTest'!$I$49:$P$49,MATCH($B8,'[2]AP H - CostTest'!$I$3:$P$3,0))</f>
        <v>0</v>
      </c>
      <c r="J8" s="459" t="str">
        <f>INDEX('[2]AP H - CostTest'!$I$23:$P$23,MATCH($B8,'[2]AP H - CostTest'!$I$3:$P$3,0))</f>
        <v>n/a</v>
      </c>
      <c r="K8" s="459">
        <f>INDEX('[2]AP H - CostTest'!$I$26:$P$26,MATCH($B8,'[2]AP H - CostTest'!$I$3:$P$3,0))</f>
        <v>0</v>
      </c>
      <c r="L8" s="468">
        <f>INDEX('[2]AP H - CostTest'!$I$31:$P$31,MATCH($B8,'[2]AP H - CostTest'!$I$3:$P$3,0))</f>
        <v>0</v>
      </c>
      <c r="M8" s="468">
        <f>INDEX('[2]AP H - CostTest'!$I$18:$P$18,MATCH($B8,'[2]AP H - CostTest'!$I$3:$P$3,0))</f>
        <v>0</v>
      </c>
      <c r="N8" s="469">
        <f>'[2]Program-Level'!AA28</f>
        <v>0</v>
      </c>
      <c r="P8" s="487"/>
      <c r="Q8" s="487"/>
      <c r="R8" s="487"/>
      <c r="S8" s="487"/>
      <c r="T8" s="487"/>
      <c r="U8" s="487"/>
    </row>
    <row r="9" spans="1:22">
      <c r="B9" s="328" t="s">
        <v>112</v>
      </c>
      <c r="C9" s="464">
        <v>2.58</v>
      </c>
      <c r="D9" s="465">
        <v>2.98</v>
      </c>
      <c r="E9" s="465">
        <v>2.1800000000000002</v>
      </c>
      <c r="F9" s="466">
        <v>0.68</v>
      </c>
      <c r="G9" s="466">
        <v>1.51</v>
      </c>
      <c r="H9" s="467">
        <v>2.5</v>
      </c>
      <c r="I9" s="458">
        <f>INDEX('[2]AP H - CostTest'!$I$49:$P$49,MATCH($B9,'[2]AP H - CostTest'!$I$3:$P$3,0))</f>
        <v>1.6050931641743253</v>
      </c>
      <c r="J9" s="459">
        <f>INDEX('[2]AP H - CostTest'!$I$23:$P$23,MATCH($B9,'[2]AP H - CostTest'!$I$3:$P$3,0))</f>
        <v>2.537699945126946</v>
      </c>
      <c r="K9" s="459">
        <f>INDEX('[2]AP H - CostTest'!$I$26:$P$26,MATCH($B9,'[2]AP H - CostTest'!$I$3:$P$3,0))</f>
        <v>0.94920682090481734</v>
      </c>
      <c r="L9" s="468">
        <f>INDEX('[2]AP H - CostTest'!$I$31:$P$31,MATCH($B9,'[2]AP H - CostTest'!$I$3:$P$3,0))</f>
        <v>0.58839632536577424</v>
      </c>
      <c r="M9" s="468">
        <f>INDEX('[2]AP H - CostTest'!$I$18:$P$18,MATCH($B9,'[2]AP H - CostTest'!$I$3:$P$3,0))</f>
        <v>0.90520872376124006</v>
      </c>
      <c r="N9" s="469">
        <f>'[2]Program-Level'!AA29</f>
        <v>1.7225757524762311</v>
      </c>
      <c r="P9" s="487"/>
      <c r="Q9" s="487"/>
      <c r="R9" s="487"/>
      <c r="S9" s="487"/>
      <c r="T9" s="487"/>
      <c r="U9" s="487"/>
    </row>
    <row r="10" spans="1:22">
      <c r="B10" s="329" t="s">
        <v>113</v>
      </c>
      <c r="C10" s="470">
        <v>1.58</v>
      </c>
      <c r="D10" s="471">
        <v>1.2</v>
      </c>
      <c r="E10" s="471">
        <v>1.56</v>
      </c>
      <c r="F10" s="472">
        <v>0.59</v>
      </c>
      <c r="G10" s="472">
        <v>0.84</v>
      </c>
      <c r="H10" s="473">
        <v>1.54</v>
      </c>
      <c r="I10" s="460">
        <f>INDEX('[2]AP H - CostTest'!$I$49:$P$49,MATCH($B10,'[2]AP H - CostTest'!$I$3:$P$3,0))</f>
        <v>2.329837489368618</v>
      </c>
      <c r="J10" s="461">
        <f>INDEX('[2]AP H - CostTest'!$I$23:$P$23,MATCH($B10,'[2]AP H - CostTest'!$I$3:$P$3,0))</f>
        <v>4.4017843866025563</v>
      </c>
      <c r="K10" s="461">
        <f>INDEX('[2]AP H - CostTest'!$I$26:$P$26,MATCH($B10,'[2]AP H - CostTest'!$I$3:$P$3,0))</f>
        <v>1.4550922445262884</v>
      </c>
      <c r="L10" s="474">
        <f>INDEX('[2]AP H - CostTest'!$I$31:$P$31,MATCH($B10,'[2]AP H - CostTest'!$I$3:$P$3,0))</f>
        <v>0.74974758935342989</v>
      </c>
      <c r="M10" s="474">
        <f>INDEX('[2]AP H - CostTest'!$I$18:$P$18,MATCH($B10,'[2]AP H - CostTest'!$I$3:$P$3,0))</f>
        <v>1.3135069968930413</v>
      </c>
      <c r="N10" s="475">
        <f>'[2]Program-Level'!AA30</f>
        <v>2.3719007261856615</v>
      </c>
      <c r="P10" s="487"/>
      <c r="Q10" s="487"/>
      <c r="R10" s="487"/>
      <c r="S10" s="487"/>
      <c r="T10" s="487"/>
      <c r="U10" s="487"/>
    </row>
    <row r="11" spans="1:22">
      <c r="B11" s="328" t="s">
        <v>114</v>
      </c>
      <c r="C11" s="464">
        <v>2.0699999999999998</v>
      </c>
      <c r="D11" s="465">
        <v>1</v>
      </c>
      <c r="E11" s="465">
        <v>1.97</v>
      </c>
      <c r="F11" s="466">
        <v>1.97</v>
      </c>
      <c r="G11" s="466">
        <v>1.97</v>
      </c>
      <c r="H11" s="467">
        <v>2.0699999999999998</v>
      </c>
      <c r="I11" s="458">
        <f>INDEX('[2]AP H - CostTest'!$I$49:$P$49,MATCH($B11,'[2]AP H - CostTest'!$I$3:$P$3,0))</f>
        <v>2.3864350236718956</v>
      </c>
      <c r="J11" s="459" t="str">
        <f>INDEX('[2]AP H - CostTest'!$I$23:$P$23,MATCH($B11,'[2]AP H - CostTest'!$I$3:$P$3,0))</f>
        <v>n/a</v>
      </c>
      <c r="K11" s="459">
        <f>INDEX('[2]AP H - CostTest'!$I$26:$P$26,MATCH($B11,'[2]AP H - CostTest'!$I$3:$P$3,0))</f>
        <v>0.95239609503635125</v>
      </c>
      <c r="L11" s="468">
        <f>INDEX('[2]AP H - CostTest'!$I$31:$P$31,MATCH($B11,'[2]AP H - CostTest'!$I$3:$P$3,0))</f>
        <v>0.95239609503635125</v>
      </c>
      <c r="M11" s="468">
        <f>INDEX('[2]AP H - CostTest'!$I$18:$P$18,MATCH($B11,'[2]AP H - CostTest'!$I$3:$P$3,0))</f>
        <v>2.2727952606399007</v>
      </c>
      <c r="N11" s="469">
        <f>'[2]Program-Level'!AA31</f>
        <v>2.3864331084442165</v>
      </c>
      <c r="P11" s="487"/>
      <c r="Q11" s="487"/>
      <c r="R11" s="487"/>
      <c r="S11" s="487"/>
      <c r="T11" s="487"/>
      <c r="U11" s="487"/>
    </row>
    <row r="12" spans="1:22" ht="15" thickBot="1">
      <c r="B12" s="330" t="s">
        <v>115</v>
      </c>
      <c r="C12" s="476">
        <v>1.17</v>
      </c>
      <c r="D12" s="477">
        <v>4.3499999999999996</v>
      </c>
      <c r="E12" s="477">
        <v>0.08</v>
      </c>
      <c r="F12" s="478">
        <v>0.08</v>
      </c>
      <c r="G12" s="478">
        <v>0.63</v>
      </c>
      <c r="H12" s="479">
        <v>1.17</v>
      </c>
      <c r="I12" s="462">
        <f>INDEX('[2]AP H - CostTest'!$I$49:$P$49,MATCH($B12,'[2]AP H - CostTest'!$I$3:$P$3,0))</f>
        <v>0</v>
      </c>
      <c r="J12" s="463" t="str">
        <f>INDEX('[2]AP H - CostTest'!$I$23:$P$23,MATCH($B12,'[2]AP H - CostTest'!$I$3:$P$3,0))</f>
        <v>n/a</v>
      </c>
      <c r="K12" s="463">
        <f>INDEX('[2]AP H - CostTest'!$I$26:$P$26,MATCH($B12,'[2]AP H - CostTest'!$I$3:$P$3,0))</f>
        <v>0</v>
      </c>
      <c r="L12" s="480">
        <f>INDEX('[2]AP H - CostTest'!$I$31:$P$31,MATCH($B12,'[2]AP H - CostTest'!$I$3:$P$3,0))</f>
        <v>0</v>
      </c>
      <c r="M12" s="480">
        <f>INDEX('[2]AP H - CostTest'!$I$18:$P$18,MATCH($B12,'[2]AP H - CostTest'!$I$3:$P$3,0))</f>
        <v>0</v>
      </c>
      <c r="N12" s="481">
        <f>'[2]Program-Level'!AA32</f>
        <v>0</v>
      </c>
      <c r="P12" s="487"/>
      <c r="Q12" s="487"/>
      <c r="R12" s="487"/>
      <c r="S12" s="487"/>
      <c r="T12" s="487"/>
      <c r="U12" s="487"/>
    </row>
  </sheetData>
  <mergeCells count="3">
    <mergeCell ref="B3:B4"/>
    <mergeCell ref="C3:H3"/>
    <mergeCell ref="I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BD255-E7AF-463A-A5B3-6898484E377C}">
  <dimension ref="B1:D46"/>
  <sheetViews>
    <sheetView workbookViewId="0">
      <selection activeCell="B2" sqref="B2:D46"/>
    </sheetView>
  </sheetViews>
  <sheetFormatPr defaultColWidth="8.90625" defaultRowHeight="14.5"/>
  <cols>
    <col min="1" max="1" width="8.90625" style="60"/>
    <col min="2" max="2" width="33" style="60" bestFit="1" customWidth="1"/>
    <col min="3" max="3" width="26" style="60" bestFit="1" customWidth="1"/>
    <col min="4" max="4" width="39.1796875" style="60" customWidth="1"/>
    <col min="5" max="16384" width="8.90625" style="60"/>
  </cols>
  <sheetData>
    <row r="1" spans="2:4" ht="15" thickBot="1"/>
    <row r="2" spans="2:4" ht="15" thickBot="1">
      <c r="B2" s="495" t="s">
        <v>317</v>
      </c>
      <c r="C2" s="496"/>
      <c r="D2" s="346" t="s">
        <v>318</v>
      </c>
    </row>
    <row r="3" spans="2:4">
      <c r="B3" s="347"/>
      <c r="C3" s="348"/>
      <c r="D3" s="348"/>
    </row>
    <row r="4" spans="2:4" ht="24">
      <c r="B4" s="347"/>
      <c r="C4" s="349" t="s">
        <v>319</v>
      </c>
      <c r="D4" s="349" t="s">
        <v>320</v>
      </c>
    </row>
    <row r="5" spans="2:4" ht="15" thickBot="1">
      <c r="B5" s="347"/>
      <c r="C5" s="350"/>
      <c r="D5" s="350"/>
    </row>
    <row r="6" spans="2:4">
      <c r="B6" s="347"/>
      <c r="C6" s="348"/>
      <c r="D6" s="497" t="s">
        <v>321</v>
      </c>
    </row>
    <row r="7" spans="2:4" ht="15" thickBot="1">
      <c r="B7" s="347"/>
      <c r="C7" s="351" t="s">
        <v>322</v>
      </c>
      <c r="D7" s="498"/>
    </row>
    <row r="8" spans="2:4">
      <c r="B8" s="347"/>
      <c r="C8" s="348"/>
      <c r="D8" s="348"/>
    </row>
    <row r="9" spans="2:4" ht="15" thickBot="1">
      <c r="B9" s="347"/>
      <c r="C9" s="351" t="s">
        <v>323</v>
      </c>
      <c r="D9" s="351" t="s">
        <v>324</v>
      </c>
    </row>
    <row r="10" spans="2:4">
      <c r="B10" s="347"/>
      <c r="C10" s="348"/>
      <c r="D10" s="348"/>
    </row>
    <row r="11" spans="2:4" ht="24.5" thickBot="1">
      <c r="B11" s="352"/>
      <c r="C11" s="351" t="s">
        <v>325</v>
      </c>
      <c r="D11" s="351" t="s">
        <v>326</v>
      </c>
    </row>
    <row r="12" spans="2:4">
      <c r="B12" s="353" t="s">
        <v>181</v>
      </c>
      <c r="C12" s="348"/>
      <c r="D12" s="348"/>
    </row>
    <row r="13" spans="2:4" ht="15" thickBot="1">
      <c r="B13" s="354"/>
      <c r="C13" s="351" t="s">
        <v>327</v>
      </c>
      <c r="D13" s="351" t="s">
        <v>328</v>
      </c>
    </row>
    <row r="14" spans="2:4">
      <c r="B14" s="354"/>
      <c r="C14" s="348"/>
      <c r="D14" s="348"/>
    </row>
    <row r="15" spans="2:4" ht="24.5" thickBot="1">
      <c r="B15" s="354"/>
      <c r="C15" s="351" t="s">
        <v>329</v>
      </c>
      <c r="D15" s="351" t="s">
        <v>326</v>
      </c>
    </row>
    <row r="16" spans="2:4">
      <c r="B16" s="354"/>
      <c r="C16" s="348"/>
      <c r="D16" s="348"/>
    </row>
    <row r="17" spans="2:4" ht="15" thickBot="1">
      <c r="B17" s="354"/>
      <c r="C17" s="351" t="s">
        <v>330</v>
      </c>
      <c r="D17" s="351" t="s">
        <v>331</v>
      </c>
    </row>
    <row r="18" spans="2:4" ht="25" customHeight="1">
      <c r="B18" s="354"/>
      <c r="C18" s="348"/>
      <c r="D18" s="497" t="s">
        <v>332</v>
      </c>
    </row>
    <row r="19" spans="2:4" ht="32.5" customHeight="1" thickBot="1">
      <c r="B19" s="355"/>
      <c r="C19" s="351" t="s">
        <v>333</v>
      </c>
      <c r="D19" s="498"/>
    </row>
    <row r="20" spans="2:4">
      <c r="B20" s="347"/>
      <c r="C20" s="348"/>
      <c r="D20" s="348"/>
    </row>
    <row r="21" spans="2:4" ht="21.5" customHeight="1">
      <c r="B21" s="347"/>
      <c r="C21" s="349" t="s">
        <v>109</v>
      </c>
      <c r="D21" s="349" t="s">
        <v>334</v>
      </c>
    </row>
    <row r="22" spans="2:4" ht="15" thickBot="1">
      <c r="B22" s="347"/>
      <c r="C22" s="350"/>
      <c r="D22" s="350"/>
    </row>
    <row r="23" spans="2:4">
      <c r="B23" s="356"/>
      <c r="C23" s="348"/>
      <c r="D23" s="348"/>
    </row>
    <row r="24" spans="2:4" ht="15" thickBot="1">
      <c r="B24" s="353" t="s">
        <v>182</v>
      </c>
      <c r="C24" s="351" t="s">
        <v>335</v>
      </c>
      <c r="D24" s="351" t="s">
        <v>336</v>
      </c>
    </row>
    <row r="25" spans="2:4">
      <c r="B25" s="354"/>
      <c r="C25" s="348"/>
      <c r="D25" s="348"/>
    </row>
    <row r="26" spans="2:4" ht="24.5" thickBot="1">
      <c r="B26" s="355"/>
      <c r="C26" s="351" t="s">
        <v>157</v>
      </c>
      <c r="D26" s="351" t="s">
        <v>337</v>
      </c>
    </row>
    <row r="27" spans="2:4">
      <c r="B27" s="352"/>
      <c r="C27" s="348"/>
      <c r="D27" s="348"/>
    </row>
    <row r="28" spans="2:4" ht="15" thickBot="1">
      <c r="B28" s="357" t="s">
        <v>338</v>
      </c>
      <c r="C28" s="351" t="s">
        <v>339</v>
      </c>
      <c r="D28" s="351" t="s">
        <v>340</v>
      </c>
    </row>
    <row r="29" spans="2:4">
      <c r="B29" s="358"/>
      <c r="C29" s="348"/>
      <c r="D29" s="348"/>
    </row>
    <row r="30" spans="2:4" ht="24.5" thickBot="1">
      <c r="B30" s="357" t="s">
        <v>186</v>
      </c>
      <c r="C30" s="351" t="s">
        <v>294</v>
      </c>
      <c r="D30" s="351" t="s">
        <v>341</v>
      </c>
    </row>
    <row r="31" spans="2:4">
      <c r="B31" s="347"/>
      <c r="C31" s="348"/>
      <c r="D31" s="348"/>
    </row>
    <row r="32" spans="2:4" ht="24">
      <c r="B32" s="347"/>
      <c r="C32" s="349" t="s">
        <v>297</v>
      </c>
      <c r="D32" s="349" t="s">
        <v>341</v>
      </c>
    </row>
    <row r="33" spans="2:4" ht="15" thickBot="1">
      <c r="B33" s="347"/>
      <c r="C33" s="350"/>
      <c r="D33" s="350"/>
    </row>
    <row r="34" spans="2:4">
      <c r="B34" s="356"/>
      <c r="C34" s="348"/>
      <c r="D34" s="348"/>
    </row>
    <row r="35" spans="2:4" ht="24.5" thickBot="1">
      <c r="B35" s="359" t="s">
        <v>295</v>
      </c>
      <c r="C35" s="351" t="s">
        <v>342</v>
      </c>
      <c r="D35" s="351" t="s">
        <v>341</v>
      </c>
    </row>
    <row r="36" spans="2:4">
      <c r="B36" s="354"/>
      <c r="C36" s="348"/>
      <c r="D36" s="348"/>
    </row>
    <row r="37" spans="2:4" ht="24.5" thickBot="1">
      <c r="B37" s="355"/>
      <c r="C37" s="351" t="s">
        <v>343</v>
      </c>
      <c r="D37" s="351" t="s">
        <v>341</v>
      </c>
    </row>
    <row r="38" spans="2:4">
      <c r="B38" s="347"/>
      <c r="C38" s="348"/>
      <c r="D38" s="348"/>
    </row>
    <row r="39" spans="2:4">
      <c r="B39" s="347"/>
      <c r="C39" s="349" t="s">
        <v>292</v>
      </c>
      <c r="D39" s="349" t="s">
        <v>334</v>
      </c>
    </row>
    <row r="40" spans="2:4" ht="15" thickBot="1">
      <c r="B40" s="347"/>
      <c r="C40" s="350"/>
      <c r="D40" s="350"/>
    </row>
    <row r="41" spans="2:4">
      <c r="B41" s="347"/>
      <c r="C41" s="348"/>
      <c r="D41" s="348"/>
    </row>
    <row r="42" spans="2:4" ht="24.5" thickBot="1">
      <c r="B42" s="356"/>
      <c r="C42" s="351" t="s">
        <v>294</v>
      </c>
      <c r="D42" s="351" t="s">
        <v>344</v>
      </c>
    </row>
    <row r="43" spans="2:4">
      <c r="B43" s="359" t="s">
        <v>42</v>
      </c>
      <c r="C43" s="348"/>
      <c r="D43" s="348"/>
    </row>
    <row r="44" spans="2:4" ht="24.5" thickBot="1">
      <c r="B44" s="354"/>
      <c r="C44" s="351" t="s">
        <v>297</v>
      </c>
      <c r="D44" s="351" t="s">
        <v>341</v>
      </c>
    </row>
    <row r="45" spans="2:4">
      <c r="B45" s="354"/>
      <c r="C45" s="348"/>
      <c r="D45" s="348"/>
    </row>
    <row r="46" spans="2:4" ht="24.5" thickBot="1">
      <c r="B46" s="355"/>
      <c r="C46" s="351" t="s">
        <v>343</v>
      </c>
      <c r="D46" s="351" t="s">
        <v>341</v>
      </c>
    </row>
  </sheetData>
  <mergeCells count="3">
    <mergeCell ref="B2:C2"/>
    <mergeCell ref="D6:D7"/>
    <mergeCell ref="D18:D1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AM35"/>
  <sheetViews>
    <sheetView topLeftCell="A5" zoomScaleNormal="100" zoomScaleSheetLayoutView="90" workbookViewId="0">
      <selection activeCell="B3" sqref="B3:S31"/>
    </sheetView>
  </sheetViews>
  <sheetFormatPr defaultColWidth="9.453125" defaultRowHeight="14.5"/>
  <cols>
    <col min="1" max="1" width="4.453125" customWidth="1"/>
    <col min="2" max="2" width="31.453125" customWidth="1"/>
    <col min="3" max="3" width="66" customWidth="1"/>
    <col min="4" max="13" width="13.54296875" customWidth="1"/>
    <col min="14" max="16" width="14.54296875" style="2" customWidth="1"/>
    <col min="17" max="17" width="14.54296875" style="3" customWidth="1"/>
    <col min="18" max="18" width="14.54296875" customWidth="1"/>
    <col min="19" max="19" width="15.1796875" customWidth="1"/>
    <col min="20" max="20" width="16.453125" style="4" customWidth="1"/>
    <col min="21" max="22" width="16.453125" customWidth="1"/>
    <col min="23" max="24" width="15.54296875" style="2" customWidth="1"/>
    <col min="25" max="25" width="13.54296875" customWidth="1"/>
    <col min="29" max="29" width="9.453125" customWidth="1"/>
  </cols>
  <sheetData>
    <row r="1" spans="1:39" ht="23.5">
      <c r="A1" s="1" t="s">
        <v>117</v>
      </c>
      <c r="T1" s="38"/>
      <c r="W1" s="37"/>
      <c r="X1" s="37"/>
    </row>
    <row r="2" spans="1:39">
      <c r="T2" s="38"/>
      <c r="W2" s="37"/>
      <c r="X2" s="37"/>
    </row>
    <row r="3" spans="1:39" ht="19" thickBot="1">
      <c r="A3" s="5"/>
      <c r="B3" s="5" t="s">
        <v>118</v>
      </c>
      <c r="C3" s="5"/>
      <c r="D3" s="5"/>
      <c r="E3" s="5"/>
      <c r="F3" s="5"/>
      <c r="G3" s="5"/>
      <c r="H3" s="5"/>
      <c r="I3" s="5"/>
      <c r="J3" s="5"/>
      <c r="K3" s="5"/>
      <c r="L3" s="5"/>
      <c r="M3" s="5"/>
      <c r="Q3" s="15"/>
      <c r="T3" s="47"/>
      <c r="W3" s="37"/>
      <c r="X3" s="37"/>
    </row>
    <row r="4" spans="1:39" ht="43.4" customHeight="1" thickBot="1">
      <c r="A4" t="s">
        <v>119</v>
      </c>
      <c r="B4" s="59"/>
      <c r="C4" s="32"/>
      <c r="D4" s="499" t="s">
        <v>87</v>
      </c>
      <c r="E4" s="499"/>
      <c r="F4" s="499"/>
      <c r="G4" s="500"/>
      <c r="H4" s="501" t="s">
        <v>120</v>
      </c>
      <c r="I4" s="502"/>
      <c r="J4" s="502"/>
      <c r="K4" s="502"/>
      <c r="L4" s="504" t="s">
        <v>121</v>
      </c>
      <c r="M4" s="504"/>
      <c r="N4" s="504"/>
      <c r="O4" s="504"/>
      <c r="P4" s="504"/>
      <c r="Q4" s="504"/>
      <c r="R4" s="504"/>
      <c r="S4" s="504"/>
      <c r="T4" s="38"/>
      <c r="V4" s="45" t="s">
        <v>87</v>
      </c>
      <c r="W4" s="45"/>
      <c r="X4" s="45"/>
    </row>
    <row r="5" spans="1:39" ht="21" customHeight="1">
      <c r="B5" s="59"/>
      <c r="C5" s="32"/>
      <c r="D5" s="90" t="s">
        <v>122</v>
      </c>
      <c r="E5" s="21" t="s">
        <v>123</v>
      </c>
      <c r="F5" s="21" t="s">
        <v>124</v>
      </c>
      <c r="G5" s="21" t="s">
        <v>125</v>
      </c>
      <c r="H5" s="28" t="s">
        <v>126</v>
      </c>
      <c r="I5" s="29" t="s">
        <v>127</v>
      </c>
      <c r="J5" s="29" t="s">
        <v>128</v>
      </c>
      <c r="K5" s="29" t="s">
        <v>129</v>
      </c>
      <c r="L5" s="25" t="s">
        <v>130</v>
      </c>
      <c r="M5" s="335" t="s">
        <v>131</v>
      </c>
      <c r="N5" s="21" t="s">
        <v>132</v>
      </c>
      <c r="O5" s="25" t="s">
        <v>133</v>
      </c>
      <c r="P5" s="25" t="s">
        <v>134</v>
      </c>
      <c r="Q5" s="21" t="s">
        <v>135</v>
      </c>
      <c r="R5" s="21" t="s">
        <v>136</v>
      </c>
      <c r="S5" s="7" t="s">
        <v>137</v>
      </c>
      <c r="T5" s="38"/>
      <c r="W5" s="37"/>
      <c r="X5" s="37"/>
    </row>
    <row r="6" spans="1:39" ht="52.5" customHeight="1" thickBot="1">
      <c r="B6" s="58"/>
      <c r="C6" s="33"/>
      <c r="D6" s="91" t="s">
        <v>138</v>
      </c>
      <c r="E6" s="92" t="s">
        <v>139</v>
      </c>
      <c r="F6" s="92" t="s">
        <v>140</v>
      </c>
      <c r="G6" s="92" t="s">
        <v>141</v>
      </c>
      <c r="H6" s="30" t="s">
        <v>142</v>
      </c>
      <c r="I6" s="31" t="s">
        <v>143</v>
      </c>
      <c r="J6" s="31" t="s">
        <v>144</v>
      </c>
      <c r="K6" s="31" t="s">
        <v>145</v>
      </c>
      <c r="L6" s="26" t="s">
        <v>146</v>
      </c>
      <c r="M6" s="336" t="s">
        <v>147</v>
      </c>
      <c r="N6" s="8" t="s">
        <v>148</v>
      </c>
      <c r="O6" s="27" t="s">
        <v>149</v>
      </c>
      <c r="P6" s="27" t="s">
        <v>374</v>
      </c>
      <c r="Q6" s="8" t="s">
        <v>150</v>
      </c>
      <c r="R6" s="92" t="s">
        <v>151</v>
      </c>
      <c r="S6" s="140" t="s">
        <v>152</v>
      </c>
      <c r="T6" s="38"/>
      <c r="W6" s="37"/>
      <c r="X6" s="37"/>
    </row>
    <row r="7" spans="1:39" ht="15" thickBot="1">
      <c r="B7" s="49" t="s">
        <v>153</v>
      </c>
      <c r="C7" s="51" t="s">
        <v>366</v>
      </c>
      <c r="D7" s="152"/>
      <c r="E7" s="36"/>
      <c r="F7" s="36"/>
      <c r="G7" s="152"/>
      <c r="H7" s="49"/>
      <c r="I7" s="36"/>
      <c r="J7" s="48"/>
      <c r="K7" s="50"/>
      <c r="L7" s="35"/>
      <c r="M7" s="36"/>
      <c r="N7" s="36"/>
      <c r="O7" s="36"/>
      <c r="P7" s="36"/>
      <c r="Q7" s="36"/>
      <c r="R7" s="145"/>
      <c r="S7" s="141"/>
      <c r="T7" s="41"/>
      <c r="U7" s="40"/>
      <c r="V7" s="40"/>
      <c r="W7" s="40"/>
      <c r="X7" s="40"/>
    </row>
    <row r="8" spans="1:39" s="60" customFormat="1">
      <c r="B8" s="176" t="s">
        <v>154</v>
      </c>
      <c r="C8" s="177" t="s">
        <v>367</v>
      </c>
      <c r="D8" s="178">
        <f>SUM('[3]Table 7 FULL'!$D$11:$E$15)</f>
        <v>10810</v>
      </c>
      <c r="E8" s="179">
        <v>1480</v>
      </c>
      <c r="F8" s="179">
        <f>SUM('[3]Table 7 FULL'!$G$11:$H$15)</f>
        <v>59775</v>
      </c>
      <c r="G8" s="332">
        <f>F8/E8</f>
        <v>40.388513513513516</v>
      </c>
      <c r="H8" s="180">
        <f>SUM('[3]Table 7 FULL'!$D$31:$E$35)/1000</f>
        <v>118.756</v>
      </c>
      <c r="I8" s="181">
        <v>1002.73</v>
      </c>
      <c r="J8" s="182">
        <f>SUM('[3]Table 7 FULL'!$G$31:$H$35)/1000</f>
        <v>724.17600000000004</v>
      </c>
      <c r="K8" s="334">
        <f>J8/I8</f>
        <v>0.72220438203703896</v>
      </c>
      <c r="L8" s="183">
        <f>SUM('[3]Table 7 FULL'!$D$51:$E$55)</f>
        <v>1793.3000000000002</v>
      </c>
      <c r="M8" s="179">
        <v>3185</v>
      </c>
      <c r="N8" s="179">
        <f>SUM('[3]Table 7 FULL'!$G$51:$H$55)</f>
        <v>3707.7000000000003</v>
      </c>
      <c r="O8" s="184">
        <f>N8/M8</f>
        <v>1.1641130298273157</v>
      </c>
      <c r="P8" s="391">
        <f>M8*1.0345</f>
        <v>3294.8824999999997</v>
      </c>
      <c r="Q8" s="185">
        <v>0.23</v>
      </c>
      <c r="R8" s="179">
        <f>L8*12</f>
        <v>21519.600000000002</v>
      </c>
      <c r="S8" s="186">
        <f>N8*13</f>
        <v>48200.100000000006</v>
      </c>
      <c r="T8" s="62"/>
      <c r="U8" s="61"/>
      <c r="V8" s="61"/>
      <c r="W8" s="61"/>
      <c r="X8" s="61"/>
    </row>
    <row r="9" spans="1:39" ht="14.9" customHeight="1">
      <c r="B9" s="503" t="s">
        <v>156</v>
      </c>
      <c r="C9" s="165" t="s">
        <v>368</v>
      </c>
      <c r="D9" s="160">
        <v>0</v>
      </c>
      <c r="E9" s="19">
        <v>564</v>
      </c>
      <c r="F9" s="73">
        <v>0</v>
      </c>
      <c r="G9" s="333">
        <f t="shared" ref="G9:G10" si="0">F9/E9</f>
        <v>0</v>
      </c>
      <c r="H9" s="154">
        <f>SUM('[3]Table 7 FULL'!$D$36:$E$37)/1000</f>
        <v>37.820999999999998</v>
      </c>
      <c r="I9" s="69">
        <v>457.65199999999999</v>
      </c>
      <c r="J9" s="74">
        <f>SUM('[3]Table 7 FULL'!$G$36:$H$37)/1000</f>
        <v>94.855999999999995</v>
      </c>
      <c r="K9" s="333">
        <f t="shared" ref="K9:K10" si="1">J9/I9</f>
        <v>0.2072666567610324</v>
      </c>
      <c r="L9" s="149">
        <v>0</v>
      </c>
      <c r="M9" s="82">
        <v>562</v>
      </c>
      <c r="N9" s="73">
        <v>0</v>
      </c>
      <c r="O9" s="75">
        <f>N9/M9</f>
        <v>0</v>
      </c>
      <c r="P9" s="371">
        <f>N9*1.0345</f>
        <v>0</v>
      </c>
      <c r="Q9" s="117">
        <v>0</v>
      </c>
      <c r="R9" s="73">
        <v>0</v>
      </c>
      <c r="S9" s="142">
        <v>0</v>
      </c>
      <c r="T9" s="46"/>
      <c r="U9" s="46"/>
      <c r="V9" s="37"/>
      <c r="W9" s="37"/>
      <c r="X9" s="37"/>
    </row>
    <row r="10" spans="1:39" ht="14.9" customHeight="1">
      <c r="B10" s="503"/>
      <c r="C10" s="165" t="s">
        <v>157</v>
      </c>
      <c r="D10" s="160">
        <v>0</v>
      </c>
      <c r="E10" s="19">
        <v>50</v>
      </c>
      <c r="F10" s="73">
        <v>0</v>
      </c>
      <c r="G10" s="153">
        <f t="shared" si="0"/>
        <v>0</v>
      </c>
      <c r="H10" s="154">
        <f>SUM('[3]Table 7 FULL'!$D$38:$E$38)/1000</f>
        <v>58.625</v>
      </c>
      <c r="I10" s="69">
        <v>268.721</v>
      </c>
      <c r="J10" s="74">
        <f>SUM('[3]Table 7 FULL'!$G$38:$H$38)/1000</f>
        <v>89.852999999999994</v>
      </c>
      <c r="K10" s="153">
        <f t="shared" si="1"/>
        <v>0.33437282534673507</v>
      </c>
      <c r="L10" s="149">
        <v>0</v>
      </c>
      <c r="M10" s="82">
        <v>85</v>
      </c>
      <c r="N10" s="73">
        <v>0</v>
      </c>
      <c r="O10" s="75">
        <f>N10/M10</f>
        <v>0</v>
      </c>
      <c r="P10" s="371">
        <f>N10*1.0345</f>
        <v>0</v>
      </c>
      <c r="Q10" s="117">
        <v>0</v>
      </c>
      <c r="R10" s="73">
        <v>0</v>
      </c>
      <c r="S10" s="142">
        <v>0</v>
      </c>
      <c r="T10" s="46"/>
      <c r="U10" s="46"/>
      <c r="V10" s="37"/>
      <c r="W10" s="37"/>
      <c r="X10" s="37"/>
    </row>
    <row r="11" spans="1:39">
      <c r="B11" s="11" t="s">
        <v>158</v>
      </c>
      <c r="C11" s="85"/>
      <c r="D11" s="161">
        <f>SUM(D8:D10)</f>
        <v>10810</v>
      </c>
      <c r="E11" s="76">
        <f t="shared" ref="E11:S11" si="2">SUM(E8:E10)</f>
        <v>2094</v>
      </c>
      <c r="F11" s="76">
        <f t="shared" si="2"/>
        <v>59775</v>
      </c>
      <c r="G11" s="146">
        <f>F11/E11</f>
        <v>28.545845272206304</v>
      </c>
      <c r="H11" s="155">
        <f t="shared" si="2"/>
        <v>215.202</v>
      </c>
      <c r="I11" s="78">
        <f t="shared" si="2"/>
        <v>1729.1030000000001</v>
      </c>
      <c r="J11" s="79">
        <f>SUM(J8:J10)</f>
        <v>908.88499999999999</v>
      </c>
      <c r="K11" s="156">
        <f>J11/I11</f>
        <v>0.52563959463374943</v>
      </c>
      <c r="L11" s="150">
        <f t="shared" si="2"/>
        <v>1793.3000000000002</v>
      </c>
      <c r="M11" s="76">
        <f t="shared" si="2"/>
        <v>3832</v>
      </c>
      <c r="N11" s="76">
        <f t="shared" si="2"/>
        <v>3707.7000000000003</v>
      </c>
      <c r="O11" s="77">
        <f>N11/M11</f>
        <v>0.96756263048016711</v>
      </c>
      <c r="P11" s="76">
        <f t="shared" si="2"/>
        <v>3294.8824999999997</v>
      </c>
      <c r="Q11" s="118">
        <f t="shared" si="2"/>
        <v>0.23</v>
      </c>
      <c r="R11" s="76">
        <f t="shared" si="2"/>
        <v>21519.600000000002</v>
      </c>
      <c r="S11" s="338">
        <f t="shared" si="2"/>
        <v>48200.100000000006</v>
      </c>
      <c r="T11" s="41"/>
      <c r="U11" s="40"/>
      <c r="V11" s="40"/>
      <c r="W11" s="40"/>
      <c r="X11" s="40"/>
    </row>
    <row r="12" spans="1:39">
      <c r="B12" s="86"/>
      <c r="C12" s="87"/>
      <c r="D12" s="162"/>
      <c r="E12" s="80"/>
      <c r="F12" s="80"/>
      <c r="G12" s="147"/>
      <c r="H12" s="86"/>
      <c r="I12" s="80"/>
      <c r="J12" s="80"/>
      <c r="K12" s="87"/>
      <c r="L12" s="86"/>
      <c r="M12" s="80"/>
      <c r="N12" s="80"/>
      <c r="O12" s="80"/>
      <c r="P12" s="397"/>
      <c r="Q12" s="80"/>
      <c r="R12" s="80"/>
      <c r="S12" s="9"/>
      <c r="T12" s="43"/>
      <c r="U12" s="43"/>
      <c r="V12" s="43"/>
      <c r="W12" s="43"/>
      <c r="X12" s="43"/>
    </row>
    <row r="13" spans="1:39">
      <c r="B13" s="11" t="s">
        <v>159</v>
      </c>
      <c r="C13" s="85" t="s">
        <v>366</v>
      </c>
      <c r="D13" s="18"/>
      <c r="E13" s="12"/>
      <c r="F13" s="12"/>
      <c r="G13" s="148"/>
      <c r="H13" s="11"/>
      <c r="I13" s="12"/>
      <c r="J13" s="12"/>
      <c r="K13" s="85"/>
      <c r="L13" s="11"/>
      <c r="M13" s="12"/>
      <c r="N13" s="13"/>
      <c r="O13" s="13"/>
      <c r="P13" s="412"/>
      <c r="Q13" s="13"/>
      <c r="R13" s="13"/>
      <c r="S13" s="143"/>
      <c r="T13" s="41"/>
      <c r="U13" s="40"/>
      <c r="V13" s="40"/>
      <c r="W13" s="40"/>
      <c r="X13" s="40"/>
    </row>
    <row r="14" spans="1:39">
      <c r="B14" s="107" t="s">
        <v>161</v>
      </c>
      <c r="C14" s="165" t="s">
        <v>162</v>
      </c>
      <c r="D14" s="163">
        <v>0</v>
      </c>
      <c r="E14" s="19">
        <v>80</v>
      </c>
      <c r="F14" s="19">
        <v>0</v>
      </c>
      <c r="G14" s="333">
        <f t="shared" ref="G14:G15" si="3">F14/E14</f>
        <v>0</v>
      </c>
      <c r="H14" s="154">
        <f>SUM('[3]Table 7 FULL'!$D$40:$E$40)/1000</f>
        <v>77.412000000000006</v>
      </c>
      <c r="I14" s="69">
        <v>1155.5930000000001</v>
      </c>
      <c r="J14" s="81">
        <f>SUM('[3]Table 7 FULL'!$G$40:$H$40)/1000</f>
        <v>266.78699999999998</v>
      </c>
      <c r="K14" s="333">
        <f t="shared" ref="K14:K15" si="4">J14/I14</f>
        <v>0.23086588444201372</v>
      </c>
      <c r="L14" s="413">
        <v>0</v>
      </c>
      <c r="M14" s="82">
        <v>1784</v>
      </c>
      <c r="N14" s="73">
        <v>0</v>
      </c>
      <c r="O14" s="75">
        <f>N14/M14</f>
        <v>0</v>
      </c>
      <c r="P14" s="371">
        <f>N14*1.0345</f>
        <v>0</v>
      </c>
      <c r="Q14" s="67">
        <v>0</v>
      </c>
      <c r="R14" s="339">
        <v>0</v>
      </c>
      <c r="S14" s="340">
        <v>0</v>
      </c>
      <c r="T14" s="38"/>
      <c r="U14" s="39"/>
      <c r="V14" s="39"/>
      <c r="W14" s="37"/>
      <c r="X14" s="37"/>
    </row>
    <row r="15" spans="1:39" ht="29">
      <c r="B15" s="107" t="s">
        <v>163</v>
      </c>
      <c r="C15" s="165" t="s">
        <v>369</v>
      </c>
      <c r="D15" s="160">
        <f>SUM('[3]Table 7 FULL'!$D$21:$E$23)</f>
        <v>29</v>
      </c>
      <c r="E15" s="19">
        <v>166</v>
      </c>
      <c r="F15" s="82">
        <f>SUM('[3]Table 7 FULL'!$G$21:$H$23)</f>
        <v>312</v>
      </c>
      <c r="G15" s="153">
        <f t="shared" si="3"/>
        <v>1.8795180722891567</v>
      </c>
      <c r="H15" s="154">
        <f>SUM('[3]Table 7 FULL'!$D$41:$E$43)/1000</f>
        <v>404.83</v>
      </c>
      <c r="I15" s="69">
        <v>997.43499999999995</v>
      </c>
      <c r="J15" s="81">
        <f>SUM('[3]Table 7 FULL'!$G$41:$H$43)/1000</f>
        <v>658.33299999999997</v>
      </c>
      <c r="K15" s="153">
        <f t="shared" si="4"/>
        <v>0.6600259666043401</v>
      </c>
      <c r="L15" s="414">
        <f>SUM('[3]Table 7 FULL'!$D$61:$E$63)</f>
        <v>515.6</v>
      </c>
      <c r="M15" s="415">
        <v>3123</v>
      </c>
      <c r="N15" s="73">
        <f>SUM('[3]Table 7 FULL'!$G$61:$H$63)</f>
        <v>917.1</v>
      </c>
      <c r="O15" s="75">
        <f>N15/M15</f>
        <v>0.29365994236311238</v>
      </c>
      <c r="P15" s="371">
        <f>N15*1.0345</f>
        <v>948.73995000000002</v>
      </c>
      <c r="Q15" s="67">
        <v>0.18</v>
      </c>
      <c r="R15" s="73">
        <f>L15*14.1</f>
        <v>7269.96</v>
      </c>
      <c r="S15" s="142">
        <f>N15*14.3</f>
        <v>13114.53</v>
      </c>
      <c r="T15" s="46"/>
      <c r="U15" s="46"/>
      <c r="V15" s="39"/>
      <c r="W15" s="37"/>
      <c r="X15" s="37"/>
    </row>
    <row r="16" spans="1:39" s="15" customFormat="1">
      <c r="B16" s="11" t="s">
        <v>165</v>
      </c>
      <c r="C16" s="85"/>
      <c r="D16" s="18">
        <f>SUM(D14:D15)</f>
        <v>29</v>
      </c>
      <c r="E16" s="12">
        <f t="shared" ref="E16:R16" si="5">SUM(E14:E15)</f>
        <v>246</v>
      </c>
      <c r="F16" s="12">
        <f>SUM(F14:F15)</f>
        <v>312</v>
      </c>
      <c r="G16" s="146">
        <f>F16/E16</f>
        <v>1.2682926829268293</v>
      </c>
      <c r="H16" s="155">
        <f t="shared" si="5"/>
        <v>482.24199999999996</v>
      </c>
      <c r="I16" s="78">
        <f t="shared" si="5"/>
        <v>2153.0280000000002</v>
      </c>
      <c r="J16" s="79">
        <f>SUM(J14:J15)</f>
        <v>925.11999999999989</v>
      </c>
      <c r="K16" s="156">
        <f>J16/I16</f>
        <v>0.42968321823961408</v>
      </c>
      <c r="L16" s="150">
        <f t="shared" si="5"/>
        <v>515.6</v>
      </c>
      <c r="M16" s="76">
        <f t="shared" si="5"/>
        <v>4907</v>
      </c>
      <c r="N16" s="76">
        <f t="shared" si="5"/>
        <v>917.1</v>
      </c>
      <c r="O16" s="77">
        <f>N16/M16</f>
        <v>0.18689627063378847</v>
      </c>
      <c r="P16" s="76">
        <f t="shared" si="5"/>
        <v>948.73995000000002</v>
      </c>
      <c r="Q16" s="12">
        <f t="shared" si="5"/>
        <v>0.18</v>
      </c>
      <c r="R16" s="12">
        <f t="shared" si="5"/>
        <v>7269.96</v>
      </c>
      <c r="S16" s="338">
        <f>SUM(S14:S15)</f>
        <v>13114.53</v>
      </c>
      <c r="T16" s="41"/>
      <c r="U16" s="40"/>
      <c r="V16" s="40"/>
      <c r="W16" s="40"/>
      <c r="X16" s="40"/>
      <c r="Y16"/>
      <c r="Z16"/>
      <c r="AA16"/>
      <c r="AB16"/>
      <c r="AC16"/>
      <c r="AD16"/>
      <c r="AE16"/>
      <c r="AF16"/>
      <c r="AG16"/>
      <c r="AH16"/>
      <c r="AI16"/>
      <c r="AJ16"/>
      <c r="AK16"/>
      <c r="AL16"/>
      <c r="AM16"/>
    </row>
    <row r="17" spans="2:39">
      <c r="B17" s="86"/>
      <c r="C17" s="87"/>
      <c r="D17" s="162"/>
      <c r="E17" s="80"/>
      <c r="F17" s="80"/>
      <c r="G17" s="147"/>
      <c r="H17" s="86"/>
      <c r="I17" s="80"/>
      <c r="J17" s="80"/>
      <c r="K17" s="87"/>
      <c r="L17" s="86"/>
      <c r="M17" s="80"/>
      <c r="N17" s="80"/>
      <c r="O17" s="80"/>
      <c r="P17" s="80"/>
      <c r="Q17" s="80"/>
      <c r="R17" s="80"/>
      <c r="S17" s="9"/>
      <c r="T17" s="43"/>
      <c r="U17" s="43"/>
      <c r="V17" s="43"/>
      <c r="W17" s="43"/>
      <c r="X17" s="43"/>
    </row>
    <row r="18" spans="2:39">
      <c r="B18" s="89" t="s">
        <v>166</v>
      </c>
      <c r="C18" s="166" t="s">
        <v>162</v>
      </c>
      <c r="D18" s="163">
        <v>0</v>
      </c>
      <c r="E18" s="19">
        <v>22</v>
      </c>
      <c r="F18" s="19">
        <v>0</v>
      </c>
      <c r="G18" s="333">
        <f t="shared" ref="G18" si="6">F18/E18</f>
        <v>0</v>
      </c>
      <c r="H18" s="157">
        <f>SUM('[3]Table 7 FULL'!$D$39:$E$39)/1000</f>
        <v>49.691000000000003</v>
      </c>
      <c r="I18" s="69">
        <v>329.79599999999999</v>
      </c>
      <c r="J18" s="81">
        <f>SUM('[3]Table 7 FULL'!$G$39:$H$39)/1000</f>
        <v>86.331000000000003</v>
      </c>
      <c r="K18" s="153">
        <f t="shared" ref="K18" si="7">J18/I18</f>
        <v>0.26177091292799187</v>
      </c>
      <c r="L18" s="151">
        <v>0</v>
      </c>
      <c r="M18" s="19">
        <v>268</v>
      </c>
      <c r="N18" s="67">
        <v>0</v>
      </c>
      <c r="O18" s="75">
        <f>N18/M18</f>
        <v>0</v>
      </c>
      <c r="P18" s="371">
        <f>N18*1.0345</f>
        <v>0</v>
      </c>
      <c r="Q18" s="67">
        <v>0</v>
      </c>
      <c r="R18" s="67">
        <v>0</v>
      </c>
      <c r="S18" s="144">
        <v>0</v>
      </c>
      <c r="T18" s="43"/>
      <c r="U18" s="43"/>
      <c r="V18" s="43"/>
      <c r="W18" s="43"/>
      <c r="X18" s="43"/>
    </row>
    <row r="19" spans="2:39">
      <c r="B19" s="11" t="s">
        <v>167</v>
      </c>
      <c r="C19" s="85" t="s">
        <v>366</v>
      </c>
      <c r="D19" s="18"/>
      <c r="E19" s="12"/>
      <c r="F19" s="12"/>
      <c r="G19" s="148"/>
      <c r="H19" s="11"/>
      <c r="I19" s="12"/>
      <c r="J19" s="12"/>
      <c r="K19" s="85"/>
      <c r="L19" s="11"/>
      <c r="M19" s="12"/>
      <c r="N19" s="12"/>
      <c r="O19" s="12"/>
      <c r="P19" s="12"/>
      <c r="Q19" s="12"/>
      <c r="R19" s="13"/>
      <c r="S19" s="143"/>
      <c r="T19" s="41"/>
      <c r="U19" s="40"/>
      <c r="V19" s="40"/>
      <c r="W19" s="40"/>
      <c r="X19" s="40"/>
    </row>
    <row r="20" spans="2:39">
      <c r="B20" s="14" t="s">
        <v>114</v>
      </c>
      <c r="C20" s="167" t="s">
        <v>168</v>
      </c>
      <c r="D20" s="369">
        <f>SUM('[3]Table 7 FULL'!$D$24:$E$24)</f>
        <v>642</v>
      </c>
      <c r="E20" s="370">
        <v>757</v>
      </c>
      <c r="F20" s="371">
        <f>SUM('[3]Table 7 FULL'!$G$24:$H$24)</f>
        <v>815</v>
      </c>
      <c r="G20" s="333">
        <f t="shared" ref="G20:G21" si="8">F20/E20</f>
        <v>1.0766182298546896</v>
      </c>
      <c r="H20" s="158">
        <f>SUM('[3]Table 7 FULL'!$D$44:$E$44)/1000</f>
        <v>31.236000000000001</v>
      </c>
      <c r="I20" s="70">
        <v>358.803</v>
      </c>
      <c r="J20" s="71">
        <f>SUM('[3]Table 7 FULL'!$G$44:$H$44)/1000</f>
        <v>120.242</v>
      </c>
      <c r="K20" s="333">
        <f t="shared" ref="K20:K21" si="9">J20/I20</f>
        <v>0.33511982898693715</v>
      </c>
      <c r="L20" s="14">
        <v>0</v>
      </c>
      <c r="M20" s="20">
        <v>0</v>
      </c>
      <c r="N20" s="67">
        <v>0</v>
      </c>
      <c r="O20" s="75">
        <v>0</v>
      </c>
      <c r="P20" s="371">
        <f>N20*1.0345</f>
        <v>0</v>
      </c>
      <c r="Q20" s="67">
        <v>0.82499999999999996</v>
      </c>
      <c r="R20" s="73">
        <v>0</v>
      </c>
      <c r="S20" s="142">
        <v>0</v>
      </c>
      <c r="T20" s="38"/>
      <c r="U20" s="39"/>
      <c r="V20" s="39"/>
      <c r="W20" s="37"/>
      <c r="X20" s="37"/>
    </row>
    <row r="21" spans="2:39" s="60" customFormat="1">
      <c r="B21" s="10" t="s">
        <v>169</v>
      </c>
      <c r="C21" s="168" t="s">
        <v>162</v>
      </c>
      <c r="D21" s="164">
        <v>0</v>
      </c>
      <c r="E21" s="67">
        <v>116</v>
      </c>
      <c r="F21" s="20">
        <v>0</v>
      </c>
      <c r="G21" s="153">
        <f t="shared" si="8"/>
        <v>0</v>
      </c>
      <c r="H21" s="159">
        <f>SUM('[3]Table 7 FULL'!$D$45:$E$45)/1000</f>
        <v>50.384</v>
      </c>
      <c r="I21" s="84">
        <v>407.25299999999999</v>
      </c>
      <c r="J21" s="71">
        <f>SUM('[3]Table 7 FULL'!$G$45:$H$45)/1000</f>
        <v>86.108000000000004</v>
      </c>
      <c r="K21" s="153">
        <f t="shared" si="9"/>
        <v>0.21143613429489777</v>
      </c>
      <c r="L21" s="10">
        <v>0</v>
      </c>
      <c r="M21" s="73">
        <v>2169</v>
      </c>
      <c r="N21" s="67">
        <v>0</v>
      </c>
      <c r="O21" s="75">
        <f>N21/M21</f>
        <v>0</v>
      </c>
      <c r="P21" s="371">
        <f>N21*1.0345</f>
        <v>0</v>
      </c>
      <c r="Q21" s="67">
        <v>0</v>
      </c>
      <c r="R21" s="67">
        <v>0</v>
      </c>
      <c r="S21" s="144">
        <v>0</v>
      </c>
      <c r="T21" s="64"/>
      <c r="U21" s="63"/>
      <c r="V21" s="63"/>
      <c r="W21" s="65"/>
      <c r="X21" s="65"/>
    </row>
    <row r="22" spans="2:39">
      <c r="B22" s="11" t="s">
        <v>170</v>
      </c>
      <c r="C22" s="85"/>
      <c r="D22" s="18">
        <f>SUM(D20:D21)</f>
        <v>642</v>
      </c>
      <c r="E22" s="12">
        <f t="shared" ref="E22:R22" si="10">SUM(E20:E21)</f>
        <v>873</v>
      </c>
      <c r="F22" s="12">
        <f t="shared" si="10"/>
        <v>815</v>
      </c>
      <c r="G22" s="146">
        <f>F22/E22</f>
        <v>0.93356242840778925</v>
      </c>
      <c r="H22" s="155">
        <f t="shared" si="10"/>
        <v>81.62</v>
      </c>
      <c r="I22" s="78">
        <f t="shared" si="10"/>
        <v>766.05600000000004</v>
      </c>
      <c r="J22" s="79">
        <f>SUM(J20:J21)</f>
        <v>206.35000000000002</v>
      </c>
      <c r="K22" s="156">
        <f>J22/I22</f>
        <v>0.26936673036958136</v>
      </c>
      <c r="L22" s="11">
        <f t="shared" si="10"/>
        <v>0</v>
      </c>
      <c r="M22" s="76">
        <f t="shared" si="10"/>
        <v>2169</v>
      </c>
      <c r="N22" s="12">
        <f t="shared" si="10"/>
        <v>0</v>
      </c>
      <c r="O22" s="77">
        <f>N22/M22</f>
        <v>0</v>
      </c>
      <c r="P22" s="12">
        <f t="shared" si="10"/>
        <v>0</v>
      </c>
      <c r="Q22" s="12">
        <f t="shared" si="10"/>
        <v>0.82499999999999996</v>
      </c>
      <c r="R22" s="12">
        <f t="shared" si="10"/>
        <v>0</v>
      </c>
      <c r="S22" s="338">
        <f>SUM(S20:S21)</f>
        <v>0</v>
      </c>
      <c r="T22" s="41"/>
      <c r="U22" s="44"/>
      <c r="V22" s="44"/>
      <c r="W22" s="40"/>
      <c r="X22" s="40"/>
    </row>
    <row r="23" spans="2:39">
      <c r="B23" s="86"/>
      <c r="C23" s="87"/>
      <c r="D23" s="162"/>
      <c r="E23" s="80"/>
      <c r="F23" s="80"/>
      <c r="G23" s="147"/>
      <c r="H23" s="86"/>
      <c r="I23" s="80"/>
      <c r="J23" s="80"/>
      <c r="K23" s="87"/>
      <c r="L23" s="86"/>
      <c r="M23" s="80"/>
      <c r="N23" s="80"/>
      <c r="O23" s="80"/>
      <c r="P23" s="80"/>
      <c r="Q23" s="80"/>
      <c r="R23" s="80"/>
      <c r="S23" s="9"/>
      <c r="T23" s="43"/>
      <c r="U23" s="43"/>
      <c r="V23" s="43"/>
      <c r="W23" s="43"/>
      <c r="X23" s="43"/>
    </row>
    <row r="24" spans="2:39">
      <c r="B24" s="89" t="s">
        <v>346</v>
      </c>
      <c r="C24" s="166" t="s">
        <v>162</v>
      </c>
      <c r="D24" s="160">
        <f>SUM('[3]Table 7 FULL'!$D$26:$E$26)</f>
        <v>12</v>
      </c>
      <c r="E24" s="19">
        <v>50</v>
      </c>
      <c r="F24" s="82">
        <f>SUM('[3]Table 7 FULL'!$G$26:$H$26)</f>
        <v>17</v>
      </c>
      <c r="G24" s="333">
        <f t="shared" ref="G24" si="11">F24/E24</f>
        <v>0.34</v>
      </c>
      <c r="H24" s="157">
        <f>SUM('[3]Table 7 FULL'!$D$46:$E$46)/1000</f>
        <v>33.930999999999997</v>
      </c>
      <c r="I24" s="69">
        <f>430000/1000</f>
        <v>430</v>
      </c>
      <c r="J24" s="81">
        <f>SUM('[3]Table 7 FULL'!$G$46:$H$46)/1000</f>
        <v>65.277000000000001</v>
      </c>
      <c r="K24" s="153">
        <f t="shared" ref="K24" si="12">J24/I24</f>
        <v>0.15180697674418606</v>
      </c>
      <c r="L24" s="537">
        <f>SUM('[3]Table 7 FULL'!$D$66:$E$66)</f>
        <v>13.5</v>
      </c>
      <c r="M24" s="538">
        <v>86.120999999999995</v>
      </c>
      <c r="N24" s="539">
        <f>SUM('[3]Table 7 FULL'!$G$66:$H$66)</f>
        <v>19.5</v>
      </c>
      <c r="O24" s="75">
        <f>N24/M24</f>
        <v>0.22642561047828058</v>
      </c>
      <c r="P24" s="371">
        <f>N24*1.0345</f>
        <v>20.172750000000001</v>
      </c>
      <c r="Q24" s="540">
        <v>1.1999999999999999E-3</v>
      </c>
      <c r="R24" s="73">
        <f>L24*16.3</f>
        <v>220.05</v>
      </c>
      <c r="S24" s="142">
        <f>N24*15.2</f>
        <v>296.39999999999998</v>
      </c>
      <c r="T24" s="43"/>
      <c r="U24" s="43"/>
      <c r="V24" s="43"/>
      <c r="W24" s="43"/>
      <c r="X24" s="43"/>
    </row>
    <row r="25" spans="2:39">
      <c r="B25" s="11" t="s">
        <v>375</v>
      </c>
      <c r="C25" s="88"/>
      <c r="D25" s="169"/>
      <c r="E25" s="170"/>
      <c r="F25" s="170"/>
      <c r="G25" s="171"/>
      <c r="H25" s="172"/>
      <c r="I25" s="13"/>
      <c r="J25" s="392">
        <v>17.164000000000001</v>
      </c>
      <c r="K25" s="88"/>
      <c r="L25" s="173"/>
      <c r="M25" s="170"/>
      <c r="N25" s="170"/>
      <c r="O25" s="170"/>
      <c r="P25" s="170"/>
      <c r="Q25" s="174"/>
      <c r="R25" s="170"/>
      <c r="S25" s="175"/>
      <c r="T25" s="41"/>
      <c r="U25" s="40"/>
      <c r="V25" s="40"/>
      <c r="W25" s="40"/>
      <c r="X25" s="40"/>
    </row>
    <row r="26" spans="2:39" ht="15" thickBot="1">
      <c r="B26" s="22" t="s">
        <v>172</v>
      </c>
      <c r="C26" s="187"/>
      <c r="D26" s="188">
        <f>+D11+D16+D18+D22+D24</f>
        <v>11493</v>
      </c>
      <c r="E26" s="189">
        <f>+E11+E16+E18+E22+E24</f>
        <v>3285</v>
      </c>
      <c r="F26" s="189">
        <f>+F11+F16+F18+F22+F24</f>
        <v>60919</v>
      </c>
      <c r="G26" s="190">
        <f>F26/E26</f>
        <v>18.544596651445968</v>
      </c>
      <c r="H26" s="191">
        <f>+H11+H16+H18+H22+H24+H25</f>
        <v>862.68600000000004</v>
      </c>
      <c r="I26" s="192">
        <f>+I11+I16+I18+I22+I25+I24</f>
        <v>5407.9830000000002</v>
      </c>
      <c r="J26" s="192">
        <f>J11+J16+J18+J22+J24+J25</f>
        <v>2209.127</v>
      </c>
      <c r="K26" s="193">
        <f>J26/I26</f>
        <v>0.4084937027353821</v>
      </c>
      <c r="L26" s="194">
        <f>+L11+L16+L18+L22+L24</f>
        <v>2322.4</v>
      </c>
      <c r="M26" s="189">
        <f>+M11+M16+M18+M24</f>
        <v>9093.1209999999992</v>
      </c>
      <c r="N26" s="189">
        <f>+N11+N16+N18+N22+N24</f>
        <v>4644.3</v>
      </c>
      <c r="O26" s="195">
        <f>N26/M26</f>
        <v>0.51074872972657026</v>
      </c>
      <c r="P26" s="197">
        <f>+P11+P16+P18+P22+P24</f>
        <v>4263.7951999999996</v>
      </c>
      <c r="Q26" s="196">
        <f>+Q11+Q16+Q18+Q22+Q24</f>
        <v>1.2362</v>
      </c>
      <c r="R26" s="197">
        <f>+R11+R16+R18+R22+R24</f>
        <v>29009.61</v>
      </c>
      <c r="S26" s="341">
        <f>+S11+S16+S18+S22+S24</f>
        <v>61611.030000000006</v>
      </c>
      <c r="T26" s="41"/>
      <c r="U26" s="40"/>
      <c r="V26" s="40"/>
      <c r="W26" s="40"/>
      <c r="X26" s="40"/>
    </row>
    <row r="27" spans="2:39" ht="16.5">
      <c r="B27" s="24" t="s">
        <v>173</v>
      </c>
      <c r="C27" s="15"/>
      <c r="D27" s="15"/>
      <c r="E27" s="15"/>
      <c r="F27" s="15"/>
      <c r="G27" s="15"/>
      <c r="H27" s="15"/>
      <c r="I27" s="15"/>
      <c r="J27" s="15"/>
      <c r="K27" s="15"/>
      <c r="L27" s="15"/>
      <c r="M27" s="15"/>
      <c r="N27" s="15"/>
      <c r="O27" s="15"/>
      <c r="P27" s="15"/>
      <c r="Q27" s="15"/>
      <c r="R27" s="15"/>
      <c r="S27" s="15"/>
      <c r="T27" s="16"/>
      <c r="U27" s="15"/>
      <c r="V27" s="15"/>
      <c r="W27" s="17"/>
      <c r="X27" s="17"/>
      <c r="Y27" s="15"/>
      <c r="Z27" s="15"/>
      <c r="AA27" s="15"/>
      <c r="AB27" s="15"/>
      <c r="AC27" s="15"/>
      <c r="AD27" s="15"/>
      <c r="AE27" s="15"/>
      <c r="AF27" s="15"/>
      <c r="AG27" s="15"/>
      <c r="AH27" s="15"/>
      <c r="AI27" s="15"/>
      <c r="AJ27" s="15"/>
      <c r="AK27" s="15"/>
      <c r="AL27" s="15"/>
      <c r="AM27" s="15"/>
    </row>
    <row r="28" spans="2:39" ht="16">
      <c r="B28" s="411" t="s">
        <v>373</v>
      </c>
      <c r="C28" s="15"/>
      <c r="D28" s="15"/>
      <c r="E28" s="15"/>
      <c r="F28" s="15"/>
      <c r="G28" s="15"/>
      <c r="H28" s="15"/>
      <c r="I28" s="15"/>
      <c r="J28" s="15"/>
      <c r="K28" s="15"/>
      <c r="L28" s="15"/>
      <c r="M28" s="15"/>
      <c r="N28" s="15"/>
      <c r="O28" s="15"/>
      <c r="P28" s="15"/>
      <c r="Q28" s="15"/>
      <c r="R28" s="15"/>
      <c r="S28" s="15"/>
      <c r="T28" s="16"/>
      <c r="U28" s="15"/>
      <c r="V28" s="15"/>
      <c r="W28" s="17"/>
      <c r="X28" s="17"/>
      <c r="Y28" s="15"/>
      <c r="Z28" s="15"/>
      <c r="AA28" s="15"/>
      <c r="AB28" s="15"/>
      <c r="AC28" s="15"/>
      <c r="AD28" s="15"/>
      <c r="AE28" s="15"/>
      <c r="AF28" s="15"/>
      <c r="AG28" s="15"/>
      <c r="AH28" s="15"/>
      <c r="AI28" s="15"/>
      <c r="AJ28" s="15"/>
      <c r="AK28" s="15"/>
      <c r="AL28" s="15"/>
      <c r="AM28" s="15"/>
    </row>
    <row r="29" spans="2:39">
      <c r="B29" t="s">
        <v>174</v>
      </c>
    </row>
    <row r="30" spans="2:39">
      <c r="B30" t="s">
        <v>379</v>
      </c>
    </row>
    <row r="31" spans="2:39">
      <c r="B31" t="s">
        <v>376</v>
      </c>
    </row>
    <row r="33" spans="7:11">
      <c r="K33" s="72"/>
    </row>
    <row r="35" spans="7:11">
      <c r="G35" t="s">
        <v>175</v>
      </c>
    </row>
  </sheetData>
  <mergeCells count="4">
    <mergeCell ref="D4:G4"/>
    <mergeCell ref="H4:K4"/>
    <mergeCell ref="B9:B10"/>
    <mergeCell ref="L4:S4"/>
  </mergeCells>
  <pageMargins left="0.25" right="0.25" top="0.75" bottom="0.75" header="0.3" footer="0.3"/>
  <pageSetup scale="24" fitToHeight="0" orientation="landscape" r:id="rId1"/>
  <ignoredErrors>
    <ignoredError sqref="K2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AD22"/>
  <sheetViews>
    <sheetView zoomScaleNormal="100" zoomScaleSheetLayoutView="100" workbookViewId="0">
      <selection activeCell="B3" sqref="B3:I22"/>
    </sheetView>
  </sheetViews>
  <sheetFormatPr defaultColWidth="9.453125" defaultRowHeight="14.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c r="A1" s="1" t="s">
        <v>117</v>
      </c>
      <c r="K1" s="38"/>
      <c r="N1" s="37"/>
      <c r="O1" s="37"/>
    </row>
    <row r="2" spans="1:15">
      <c r="K2" s="38"/>
      <c r="N2" s="37"/>
      <c r="O2" s="37"/>
    </row>
    <row r="3" spans="1:15" ht="19" thickBot="1">
      <c r="A3" s="5"/>
      <c r="B3" s="5" t="s">
        <v>118</v>
      </c>
      <c r="C3" s="5"/>
      <c r="D3" s="5"/>
      <c r="E3" s="5"/>
      <c r="F3" s="5"/>
      <c r="G3" s="5"/>
      <c r="H3" s="5"/>
      <c r="K3" s="47"/>
      <c r="N3" s="37"/>
      <c r="O3" s="37"/>
    </row>
    <row r="4" spans="1:15" ht="43.4" customHeight="1" thickBot="1">
      <c r="A4" t="s">
        <v>119</v>
      </c>
      <c r="B4" s="32"/>
      <c r="C4" s="32"/>
      <c r="D4" s="499" t="s">
        <v>87</v>
      </c>
      <c r="E4" s="499"/>
      <c r="F4" s="511" t="s">
        <v>176</v>
      </c>
      <c r="G4" s="512"/>
      <c r="H4" s="513" t="s">
        <v>121</v>
      </c>
      <c r="I4" s="514"/>
      <c r="K4" s="38"/>
      <c r="M4" s="45" t="s">
        <v>87</v>
      </c>
      <c r="N4" s="45"/>
      <c r="O4" s="45"/>
    </row>
    <row r="5" spans="1:15" ht="21" customHeight="1" thickBot="1">
      <c r="B5" s="59"/>
      <c r="C5" s="32"/>
      <c r="D5" s="94" t="s">
        <v>122</v>
      </c>
      <c r="E5" s="95" t="s">
        <v>123</v>
      </c>
      <c r="F5" s="96" t="s">
        <v>124</v>
      </c>
      <c r="G5" s="97" t="s">
        <v>177</v>
      </c>
      <c r="H5" s="98" t="s">
        <v>126</v>
      </c>
      <c r="I5" s="99" t="s">
        <v>127</v>
      </c>
      <c r="K5" s="38"/>
      <c r="N5" s="37"/>
      <c r="O5" s="37"/>
    </row>
    <row r="6" spans="1:15" ht="52.5" customHeight="1" thickBot="1">
      <c r="B6" s="100"/>
      <c r="C6" s="101"/>
      <c r="D6" s="505" t="s">
        <v>140</v>
      </c>
      <c r="E6" s="506"/>
      <c r="F6" s="507" t="s">
        <v>178</v>
      </c>
      <c r="G6" s="508"/>
      <c r="H6" s="509" t="s">
        <v>148</v>
      </c>
      <c r="I6" s="510"/>
      <c r="K6" s="38"/>
      <c r="N6" s="37"/>
      <c r="O6" s="37"/>
    </row>
    <row r="7" spans="1:15" ht="29.5" thickBot="1">
      <c r="B7" s="110" t="s">
        <v>153</v>
      </c>
      <c r="C7" s="111" t="s">
        <v>366</v>
      </c>
      <c r="D7" s="112" t="s">
        <v>179</v>
      </c>
      <c r="E7" s="113" t="s">
        <v>180</v>
      </c>
      <c r="F7" s="112" t="s">
        <v>179</v>
      </c>
      <c r="G7" s="113" t="s">
        <v>180</v>
      </c>
      <c r="H7" s="112" t="s">
        <v>179</v>
      </c>
      <c r="I7" s="114" t="s">
        <v>180</v>
      </c>
      <c r="J7" s="40"/>
      <c r="K7" s="41"/>
      <c r="L7" s="40"/>
      <c r="M7" s="40"/>
      <c r="N7" s="40"/>
      <c r="O7" s="40"/>
    </row>
    <row r="8" spans="1:15">
      <c r="B8" s="109" t="s">
        <v>181</v>
      </c>
      <c r="C8" s="416" t="s">
        <v>367</v>
      </c>
      <c r="D8" s="418">
        <v>0</v>
      </c>
      <c r="E8" s="373">
        <f>'Ap B - Qtr Electric Master'!F8</f>
        <v>59775</v>
      </c>
      <c r="F8" s="541">
        <v>0</v>
      </c>
      <c r="G8" s="379">
        <v>277.45299999999997</v>
      </c>
      <c r="H8" s="542">
        <v>0</v>
      </c>
      <c r="I8" s="381">
        <f>'Ap B - Qtr Electric Master'!N8</f>
        <v>3707.7000000000003</v>
      </c>
      <c r="J8" s="37"/>
      <c r="K8" s="42"/>
      <c r="L8" s="37"/>
      <c r="M8" s="37"/>
      <c r="N8" s="37"/>
      <c r="O8" s="37"/>
    </row>
    <row r="9" spans="1:15">
      <c r="B9" s="503" t="s">
        <v>182</v>
      </c>
      <c r="C9" s="417" t="s">
        <v>368</v>
      </c>
      <c r="D9" s="93">
        <v>0</v>
      </c>
      <c r="E9" s="375">
        <f>0</f>
        <v>0</v>
      </c>
      <c r="F9" s="378">
        <v>0</v>
      </c>
      <c r="G9" s="378">
        <v>0</v>
      </c>
      <c r="H9" s="93">
        <v>0</v>
      </c>
      <c r="I9" s="54">
        <v>0</v>
      </c>
      <c r="J9" s="37"/>
      <c r="K9" s="42"/>
      <c r="L9" s="37"/>
      <c r="M9" s="37"/>
      <c r="N9" s="37"/>
      <c r="O9" s="37"/>
    </row>
    <row r="10" spans="1:15">
      <c r="B10" s="503"/>
      <c r="C10" s="68" t="s">
        <v>157</v>
      </c>
      <c r="D10" s="93">
        <v>0</v>
      </c>
      <c r="E10" s="375">
        <v>0</v>
      </c>
      <c r="F10" s="378">
        <v>0</v>
      </c>
      <c r="G10" s="378">
        <v>0</v>
      </c>
      <c r="H10" s="93">
        <v>0</v>
      </c>
      <c r="I10" s="54">
        <v>0</v>
      </c>
      <c r="J10" s="37"/>
      <c r="K10" s="42"/>
      <c r="L10" s="37"/>
      <c r="M10" s="37"/>
      <c r="N10" s="37"/>
      <c r="O10" s="37"/>
    </row>
    <row r="11" spans="1:15">
      <c r="B11" s="11" t="s">
        <v>158</v>
      </c>
      <c r="C11" s="12"/>
      <c r="D11" s="374">
        <f t="shared" ref="D11:I11" si="0">SUM(D8:D10)</f>
        <v>0</v>
      </c>
      <c r="E11" s="376">
        <f t="shared" si="0"/>
        <v>59775</v>
      </c>
      <c r="F11" s="402">
        <f t="shared" si="0"/>
        <v>0</v>
      </c>
      <c r="G11" s="402">
        <f t="shared" si="0"/>
        <v>277.45299999999997</v>
      </c>
      <c r="H11" s="374">
        <f t="shared" si="0"/>
        <v>0</v>
      </c>
      <c r="I11" s="376">
        <f t="shared" si="0"/>
        <v>3707.7000000000003</v>
      </c>
      <c r="J11" s="40"/>
      <c r="K11" s="41"/>
      <c r="L11" s="40"/>
      <c r="M11" s="40"/>
      <c r="N11" s="40"/>
      <c r="O11" s="40"/>
    </row>
    <row r="12" spans="1:15">
      <c r="B12" s="86"/>
      <c r="C12" s="80"/>
      <c r="D12" s="543"/>
      <c r="E12" s="543"/>
      <c r="F12" s="544"/>
      <c r="G12" s="543"/>
      <c r="H12" s="543"/>
      <c r="I12" s="545"/>
      <c r="J12" s="43"/>
      <c r="K12" s="43"/>
      <c r="L12" s="43"/>
      <c r="M12" s="43"/>
      <c r="N12" s="43"/>
      <c r="O12" s="43"/>
    </row>
    <row r="13" spans="1:15">
      <c r="B13" s="89" t="s">
        <v>110</v>
      </c>
      <c r="C13" s="83" t="s">
        <v>162</v>
      </c>
      <c r="D13" s="93">
        <v>0</v>
      </c>
      <c r="E13" s="93">
        <v>0</v>
      </c>
      <c r="F13" s="378">
        <v>0</v>
      </c>
      <c r="G13" s="378">
        <v>0</v>
      </c>
      <c r="H13" s="93">
        <v>0</v>
      </c>
      <c r="I13" s="54">
        <v>0</v>
      </c>
      <c r="J13" s="43"/>
      <c r="K13" s="43"/>
      <c r="L13" s="43"/>
      <c r="M13" s="43"/>
      <c r="N13" s="43"/>
      <c r="O13" s="43"/>
    </row>
    <row r="14" spans="1:15">
      <c r="B14" s="11" t="s">
        <v>167</v>
      </c>
      <c r="C14" s="12" t="s">
        <v>366</v>
      </c>
      <c r="D14" s="374"/>
      <c r="E14" s="374"/>
      <c r="F14" s="546"/>
      <c r="G14" s="374"/>
      <c r="H14" s="374"/>
      <c r="I14" s="547"/>
      <c r="J14" s="40"/>
      <c r="K14" s="41"/>
      <c r="L14" s="40"/>
      <c r="M14" s="40"/>
      <c r="N14" s="40"/>
      <c r="O14" s="40"/>
    </row>
    <row r="15" spans="1:15">
      <c r="B15" s="14" t="s">
        <v>114</v>
      </c>
      <c r="C15" s="20" t="s">
        <v>168</v>
      </c>
      <c r="D15" s="377">
        <v>0</v>
      </c>
      <c r="E15" s="375">
        <f>'Ap B - Qtr Electric Master'!F20</f>
        <v>815</v>
      </c>
      <c r="F15" s="548">
        <v>0</v>
      </c>
      <c r="G15" s="380">
        <v>51.786999999999999</v>
      </c>
      <c r="H15" s="377">
        <v>0</v>
      </c>
      <c r="I15" s="54">
        <v>0</v>
      </c>
      <c r="J15" s="39"/>
      <c r="K15" s="38"/>
      <c r="L15" s="39"/>
      <c r="M15" s="39"/>
      <c r="N15" s="37"/>
      <c r="O15" s="37"/>
    </row>
    <row r="16" spans="1:15">
      <c r="B16" s="10" t="s">
        <v>169</v>
      </c>
      <c r="C16" s="67" t="s">
        <v>162</v>
      </c>
      <c r="D16" s="377">
        <v>0</v>
      </c>
      <c r="E16" s="93">
        <v>0</v>
      </c>
      <c r="F16" s="548">
        <v>0</v>
      </c>
      <c r="G16" s="378">
        <v>0</v>
      </c>
      <c r="H16" s="377">
        <v>0</v>
      </c>
      <c r="I16" s="382">
        <f>'Ap B - Qtr Electric Master'!M21</f>
        <v>2169</v>
      </c>
      <c r="J16" s="39"/>
      <c r="K16" s="38"/>
      <c r="L16" s="39"/>
      <c r="M16" s="39"/>
      <c r="N16" s="37"/>
      <c r="O16" s="37"/>
    </row>
    <row r="17" spans="2:30">
      <c r="B17" s="11" t="s">
        <v>170</v>
      </c>
      <c r="C17" s="12"/>
      <c r="D17" s="374">
        <f t="shared" ref="D17:I17" si="1">SUM(D15:D16)</f>
        <v>0</v>
      </c>
      <c r="E17" s="374">
        <f t="shared" si="1"/>
        <v>815</v>
      </c>
      <c r="F17" s="402">
        <f t="shared" si="1"/>
        <v>0</v>
      </c>
      <c r="G17" s="402">
        <f t="shared" si="1"/>
        <v>51.786999999999999</v>
      </c>
      <c r="H17" s="374">
        <f t="shared" si="1"/>
        <v>0</v>
      </c>
      <c r="I17" s="376">
        <f t="shared" si="1"/>
        <v>2169</v>
      </c>
      <c r="J17" s="44"/>
      <c r="K17" s="41"/>
      <c r="L17" s="44"/>
      <c r="M17" s="44"/>
      <c r="N17" s="40"/>
      <c r="O17" s="40"/>
    </row>
    <row r="18" spans="2:30">
      <c r="B18" s="86"/>
      <c r="C18" s="80"/>
      <c r="D18" s="543"/>
      <c r="E18" s="543"/>
      <c r="F18" s="544"/>
      <c r="G18" s="543"/>
      <c r="H18" s="543"/>
      <c r="I18" s="545"/>
      <c r="J18" s="43"/>
      <c r="K18" s="43"/>
      <c r="L18" s="43"/>
      <c r="M18" s="43"/>
      <c r="N18" s="43"/>
      <c r="O18" s="43"/>
    </row>
    <row r="19" spans="2:30">
      <c r="B19" s="89" t="s">
        <v>346</v>
      </c>
      <c r="C19" s="83" t="s">
        <v>162</v>
      </c>
      <c r="D19" s="375">
        <f>'Ap B - Qtr Electric Master'!F24</f>
        <v>17</v>
      </c>
      <c r="E19" s="93">
        <v>0</v>
      </c>
      <c r="F19" s="549">
        <f>22.308</f>
        <v>22.308</v>
      </c>
      <c r="G19" s="378">
        <v>0</v>
      </c>
      <c r="H19" s="396">
        <f>'Ap B - Qtr Electric Master'!N24</f>
        <v>19.5</v>
      </c>
      <c r="I19" s="54">
        <v>0</v>
      </c>
      <c r="J19" s="43"/>
      <c r="K19" s="43"/>
      <c r="L19" s="43"/>
      <c r="M19" s="43"/>
      <c r="N19" s="43"/>
      <c r="O19" s="43"/>
    </row>
    <row r="20" spans="2:30" ht="15" thickBot="1">
      <c r="B20" s="22" t="s">
        <v>171</v>
      </c>
      <c r="C20" s="23"/>
      <c r="D20" s="550"/>
      <c r="E20" s="551"/>
      <c r="F20" s="552">
        <v>0</v>
      </c>
      <c r="G20" s="553">
        <v>0</v>
      </c>
      <c r="H20" s="550"/>
      <c r="I20" s="554"/>
      <c r="J20" s="40"/>
      <c r="K20" s="41"/>
      <c r="L20" s="40"/>
      <c r="M20" s="40"/>
      <c r="N20" s="40"/>
      <c r="O20" s="40"/>
    </row>
    <row r="21" spans="2:30">
      <c r="B21" s="11" t="s">
        <v>172</v>
      </c>
      <c r="C21" s="12"/>
      <c r="D21" s="376">
        <f>+D11+D13+D17+D19</f>
        <v>17</v>
      </c>
      <c r="E21" s="376">
        <f>+E11+E13+E17+E19</f>
        <v>60590</v>
      </c>
      <c r="F21" s="555">
        <f>F11+F13+F17+F20+F19</f>
        <v>22.308</v>
      </c>
      <c r="G21" s="402">
        <f>G11+G13+G17+G20+G19</f>
        <v>329.23999999999995</v>
      </c>
      <c r="H21" s="400">
        <f>+H11+H13+H17+H19</f>
        <v>19.5</v>
      </c>
      <c r="I21" s="376">
        <f>+I11+I13+I19</f>
        <v>3707.7000000000003</v>
      </c>
      <c r="J21" s="40"/>
      <c r="K21" s="41"/>
      <c r="L21" s="40"/>
      <c r="M21" s="40"/>
      <c r="N21" s="40"/>
      <c r="O21" s="40"/>
    </row>
    <row r="22" spans="2:30" ht="16.5">
      <c r="B22" s="24" t="s">
        <v>377</v>
      </c>
      <c r="C22" s="15"/>
      <c r="D22" s="15"/>
      <c r="E22" s="15"/>
      <c r="F22" s="15"/>
      <c r="G22" s="15"/>
      <c r="H22" s="15"/>
      <c r="I22" s="15"/>
      <c r="J22" s="15"/>
      <c r="K22" s="16"/>
      <c r="L22" s="15"/>
      <c r="M22" s="15"/>
      <c r="N22" s="17"/>
      <c r="O22" s="17"/>
      <c r="P22" s="15"/>
      <c r="Q22" s="15"/>
      <c r="R22" s="15"/>
      <c r="S22" s="15"/>
      <c r="T22" s="15"/>
      <c r="U22" s="15"/>
      <c r="V22" s="15"/>
      <c r="W22" s="15"/>
      <c r="X22" s="15"/>
      <c r="Y22" s="15"/>
      <c r="Z22" s="15"/>
      <c r="AA22" s="15"/>
      <c r="AB22" s="15"/>
      <c r="AC22" s="15"/>
      <c r="AD22" s="15"/>
    </row>
  </sheetData>
  <mergeCells count="7">
    <mergeCell ref="B9:B10"/>
    <mergeCell ref="D6:E6"/>
    <mergeCell ref="F6:G6"/>
    <mergeCell ref="H6:I6"/>
    <mergeCell ref="D4:E4"/>
    <mergeCell ref="F4:G4"/>
    <mergeCell ref="H4:I4"/>
  </mergeCells>
  <pageMargins left="0.25" right="0.25" top="0.75" bottom="0.75" header="0.3" footer="0.3"/>
  <pageSetup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AD19"/>
  <sheetViews>
    <sheetView zoomScaleNormal="100" zoomScaleSheetLayoutView="100" workbookViewId="0">
      <selection activeCell="B3" sqref="B3:I19"/>
    </sheetView>
  </sheetViews>
  <sheetFormatPr defaultColWidth="9.453125" defaultRowHeight="14.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c r="A1" s="1" t="s">
        <v>117</v>
      </c>
      <c r="K1" s="38"/>
      <c r="N1" s="37"/>
      <c r="O1" s="37"/>
    </row>
    <row r="2" spans="1:30">
      <c r="K2" s="38"/>
      <c r="N2" s="37"/>
      <c r="O2" s="37"/>
    </row>
    <row r="3" spans="1:30" ht="19" thickBot="1">
      <c r="A3" s="5"/>
      <c r="B3" s="5" t="s">
        <v>118</v>
      </c>
      <c r="C3" s="5"/>
      <c r="D3" s="5"/>
      <c r="E3" s="5"/>
      <c r="F3" s="5"/>
      <c r="G3" s="5"/>
      <c r="H3" s="5"/>
      <c r="K3" s="47"/>
      <c r="N3" s="37"/>
      <c r="O3" s="37"/>
    </row>
    <row r="4" spans="1:30" ht="43.4" customHeight="1" thickBot="1">
      <c r="A4" t="s">
        <v>119</v>
      </c>
      <c r="B4" s="59"/>
      <c r="C4" s="108"/>
      <c r="D4" s="499" t="s">
        <v>87</v>
      </c>
      <c r="E4" s="500"/>
      <c r="F4" s="511" t="s">
        <v>176</v>
      </c>
      <c r="G4" s="512"/>
      <c r="H4" s="513" t="s">
        <v>121</v>
      </c>
      <c r="I4" s="514"/>
      <c r="K4" s="38"/>
      <c r="M4" s="45" t="s">
        <v>87</v>
      </c>
      <c r="N4" s="45"/>
      <c r="O4" s="45"/>
    </row>
    <row r="5" spans="1:30" ht="21" customHeight="1" thickBot="1">
      <c r="B5" s="57"/>
      <c r="C5" s="115"/>
      <c r="D5" s="66" t="s">
        <v>122</v>
      </c>
      <c r="E5" s="53" t="s">
        <v>123</v>
      </c>
      <c r="F5" s="55" t="s">
        <v>124</v>
      </c>
      <c r="G5" s="56" t="s">
        <v>177</v>
      </c>
      <c r="H5" s="52" t="s">
        <v>126</v>
      </c>
      <c r="I5" s="53" t="s">
        <v>127</v>
      </c>
      <c r="K5" s="38"/>
      <c r="N5" s="37"/>
      <c r="O5" s="37"/>
    </row>
    <row r="6" spans="1:30" ht="52.5" customHeight="1" thickBot="1">
      <c r="B6" s="58"/>
      <c r="C6" s="116"/>
      <c r="D6" s="515" t="s">
        <v>140</v>
      </c>
      <c r="E6" s="516"/>
      <c r="F6" s="517" t="s">
        <v>183</v>
      </c>
      <c r="G6" s="518"/>
      <c r="H6" s="509" t="s">
        <v>148</v>
      </c>
      <c r="I6" s="510"/>
      <c r="K6" s="38"/>
      <c r="N6" s="37"/>
      <c r="O6" s="37"/>
    </row>
    <row r="7" spans="1:30" ht="29">
      <c r="B7" s="102" t="s">
        <v>159</v>
      </c>
      <c r="C7" s="103" t="s">
        <v>366</v>
      </c>
      <c r="D7" s="104" t="s">
        <v>184</v>
      </c>
      <c r="E7" s="104" t="s">
        <v>185</v>
      </c>
      <c r="F7" s="104" t="s">
        <v>184</v>
      </c>
      <c r="G7" s="104" t="s">
        <v>185</v>
      </c>
      <c r="H7" s="104" t="s">
        <v>184</v>
      </c>
      <c r="I7" s="105" t="s">
        <v>185</v>
      </c>
      <c r="J7" s="40"/>
      <c r="K7" s="41"/>
      <c r="L7" s="40"/>
      <c r="M7" s="40"/>
      <c r="N7" s="40"/>
      <c r="O7" s="40"/>
    </row>
    <row r="8" spans="1:30">
      <c r="B8" s="107" t="s">
        <v>186</v>
      </c>
      <c r="C8" s="68" t="s">
        <v>162</v>
      </c>
      <c r="D8" s="375">
        <v>0</v>
      </c>
      <c r="E8" s="375">
        <v>0</v>
      </c>
      <c r="F8" s="380">
        <v>0</v>
      </c>
      <c r="G8" s="380">
        <v>0</v>
      </c>
      <c r="H8" s="93">
        <v>0</v>
      </c>
      <c r="I8" s="54">
        <v>0</v>
      </c>
      <c r="J8" s="39"/>
      <c r="K8" s="38"/>
      <c r="L8" s="39"/>
      <c r="M8" s="39"/>
      <c r="N8" s="37"/>
      <c r="O8" s="37"/>
    </row>
    <row r="9" spans="1:30" ht="14.25" customHeight="1">
      <c r="B9" s="107" t="s">
        <v>187</v>
      </c>
      <c r="C9" s="417" t="s">
        <v>369</v>
      </c>
      <c r="D9" s="375">
        <f>0.8*'Ap B - Qtr Electric Master'!F15</f>
        <v>249.60000000000002</v>
      </c>
      <c r="E9" s="375">
        <f>0.2*'Ap B - Qtr Electric Master'!F15</f>
        <v>62.400000000000006</v>
      </c>
      <c r="F9" s="380">
        <f>0.8*431.535</f>
        <v>345.22800000000007</v>
      </c>
      <c r="G9" s="380">
        <f>0.2*431.535</f>
        <v>86.307000000000016</v>
      </c>
      <c r="H9" s="399">
        <f>0.8*'Ap B - Qtr Electric Master'!N15</f>
        <v>733.68000000000006</v>
      </c>
      <c r="I9" s="383">
        <f>0.2*'Ap B - Qtr Electric Master'!N15</f>
        <v>183.42000000000002</v>
      </c>
      <c r="J9" s="46"/>
      <c r="K9" s="46"/>
      <c r="L9" s="46"/>
      <c r="M9" s="39"/>
      <c r="N9" s="37"/>
      <c r="O9" s="37"/>
    </row>
    <row r="10" spans="1:30" s="15" customFormat="1">
      <c r="B10" s="11" t="s">
        <v>165</v>
      </c>
      <c r="C10" s="12"/>
      <c r="D10" s="376">
        <f>SUM(D8:D9)</f>
        <v>249.60000000000002</v>
      </c>
      <c r="E10" s="376">
        <f>E9</f>
        <v>62.400000000000006</v>
      </c>
      <c r="F10" s="402">
        <f>SUM(F8:F9)</f>
        <v>345.22800000000007</v>
      </c>
      <c r="G10" s="402">
        <f>G9</f>
        <v>86.307000000000016</v>
      </c>
      <c r="H10" s="400">
        <f>SUM(H8:H9)</f>
        <v>733.68000000000006</v>
      </c>
      <c r="I10" s="384">
        <f>I9</f>
        <v>183.42000000000002</v>
      </c>
      <c r="J10" s="40"/>
      <c r="K10" s="41"/>
      <c r="L10" s="40"/>
      <c r="M10" s="40"/>
      <c r="N10" s="40"/>
      <c r="O10" s="40"/>
      <c r="P10"/>
      <c r="Q10"/>
      <c r="R10"/>
      <c r="S10"/>
      <c r="T10"/>
      <c r="U10"/>
      <c r="V10"/>
      <c r="W10"/>
      <c r="X10"/>
      <c r="Y10"/>
      <c r="Z10"/>
      <c r="AA10"/>
      <c r="AB10"/>
      <c r="AC10"/>
      <c r="AD10"/>
    </row>
    <row r="11" spans="1:30">
      <c r="B11" s="86"/>
      <c r="C11" s="80"/>
      <c r="D11" s="556"/>
      <c r="E11" s="556"/>
      <c r="F11" s="403"/>
      <c r="G11" s="403"/>
      <c r="H11" s="401"/>
      <c r="I11" s="407"/>
      <c r="J11" s="43"/>
      <c r="K11" s="43"/>
      <c r="L11" s="43"/>
      <c r="M11" s="43"/>
      <c r="N11" s="43"/>
      <c r="O11" s="43"/>
    </row>
    <row r="12" spans="1:30">
      <c r="B12" s="89" t="s">
        <v>110</v>
      </c>
      <c r="C12" s="83" t="s">
        <v>162</v>
      </c>
      <c r="D12" s="375">
        <v>0</v>
      </c>
      <c r="E12" s="375">
        <v>0</v>
      </c>
      <c r="F12" s="380">
        <v>0</v>
      </c>
      <c r="G12" s="380">
        <v>0</v>
      </c>
      <c r="H12" s="396">
        <v>0</v>
      </c>
      <c r="I12" s="383">
        <v>0</v>
      </c>
      <c r="J12" s="43"/>
      <c r="K12" s="43"/>
      <c r="L12" s="43"/>
      <c r="M12" s="43"/>
      <c r="N12" s="43"/>
      <c r="O12" s="43"/>
    </row>
    <row r="13" spans="1:30">
      <c r="B13" s="106" t="s">
        <v>167</v>
      </c>
      <c r="C13" s="12" t="s">
        <v>366</v>
      </c>
      <c r="D13" s="376"/>
      <c r="E13" s="376"/>
      <c r="F13" s="402"/>
      <c r="G13" s="402"/>
      <c r="H13" s="400"/>
      <c r="I13" s="384"/>
      <c r="J13" s="40"/>
      <c r="K13" s="41"/>
      <c r="L13" s="40"/>
      <c r="M13" s="40"/>
      <c r="N13" s="40"/>
      <c r="O13" s="40"/>
    </row>
    <row r="14" spans="1:30">
      <c r="B14" s="14" t="s">
        <v>114</v>
      </c>
      <c r="C14" s="20" t="s">
        <v>168</v>
      </c>
      <c r="D14" s="398">
        <v>0</v>
      </c>
      <c r="E14" s="398">
        <v>0</v>
      </c>
      <c r="F14" s="404">
        <v>0</v>
      </c>
      <c r="G14" s="404">
        <v>0</v>
      </c>
      <c r="H14" s="396">
        <v>0</v>
      </c>
      <c r="I14" s="383">
        <v>0</v>
      </c>
      <c r="J14" s="39"/>
      <c r="K14" s="38"/>
      <c r="L14" s="39"/>
      <c r="M14" s="39"/>
      <c r="N14" s="37"/>
      <c r="O14" s="37"/>
    </row>
    <row r="15" spans="1:30">
      <c r="B15" s="10" t="s">
        <v>169</v>
      </c>
      <c r="C15" s="67" t="s">
        <v>162</v>
      </c>
      <c r="D15" s="398">
        <v>0</v>
      </c>
      <c r="E15" s="398">
        <v>0</v>
      </c>
      <c r="F15" s="404">
        <v>0</v>
      </c>
      <c r="G15" s="404">
        <v>0</v>
      </c>
      <c r="H15" s="396">
        <v>0</v>
      </c>
      <c r="I15" s="383">
        <v>0</v>
      </c>
      <c r="J15" s="39"/>
      <c r="K15" s="38"/>
      <c r="L15" s="39"/>
      <c r="M15" s="39"/>
      <c r="N15" s="37"/>
      <c r="O15" s="37"/>
    </row>
    <row r="16" spans="1:30">
      <c r="B16" s="11" t="s">
        <v>170</v>
      </c>
      <c r="C16" s="12"/>
      <c r="D16" s="376">
        <f t="shared" ref="D16:I16" si="0">SUM(D14:D15)</f>
        <v>0</v>
      </c>
      <c r="E16" s="376">
        <f t="shared" si="0"/>
        <v>0</v>
      </c>
      <c r="F16" s="402">
        <f t="shared" si="0"/>
        <v>0</v>
      </c>
      <c r="G16" s="402">
        <f t="shared" si="0"/>
        <v>0</v>
      </c>
      <c r="H16" s="400">
        <f t="shared" si="0"/>
        <v>0</v>
      </c>
      <c r="I16" s="384">
        <f t="shared" si="0"/>
        <v>0</v>
      </c>
      <c r="J16" s="44"/>
      <c r="K16" s="41"/>
      <c r="L16" s="44"/>
      <c r="M16" s="44"/>
      <c r="N16" s="40"/>
      <c r="O16" s="40"/>
    </row>
    <row r="17" spans="2:15">
      <c r="B17" s="86"/>
      <c r="C17" s="80"/>
      <c r="D17" s="556"/>
      <c r="E17" s="556"/>
      <c r="F17" s="403"/>
      <c r="G17" s="403"/>
      <c r="H17" s="401"/>
      <c r="I17" s="407"/>
      <c r="J17" s="43"/>
      <c r="K17" s="43"/>
      <c r="L17" s="43"/>
      <c r="M17" s="43"/>
      <c r="N17" s="43"/>
      <c r="O17" s="43"/>
    </row>
    <row r="18" spans="2:15" ht="15" thickBot="1">
      <c r="B18" s="22" t="s">
        <v>171</v>
      </c>
      <c r="C18" s="34"/>
      <c r="D18" s="557"/>
      <c r="E18" s="558"/>
      <c r="F18" s="405">
        <v>0</v>
      </c>
      <c r="G18" s="406">
        <v>0</v>
      </c>
      <c r="H18" s="408"/>
      <c r="I18" s="409"/>
      <c r="J18" s="40"/>
      <c r="K18" s="41"/>
      <c r="L18" s="40"/>
      <c r="M18" s="40"/>
      <c r="N18" s="40"/>
      <c r="O18" s="40"/>
    </row>
    <row r="19" spans="2:15">
      <c r="B19" s="11" t="s">
        <v>172</v>
      </c>
      <c r="C19" s="12"/>
      <c r="D19" s="376">
        <f t="shared" ref="D19:I19" si="1">+D10+D12+D16</f>
        <v>249.60000000000002</v>
      </c>
      <c r="E19" s="376">
        <f t="shared" si="1"/>
        <v>62.400000000000006</v>
      </c>
      <c r="F19" s="402">
        <f t="shared" si="1"/>
        <v>345.22800000000007</v>
      </c>
      <c r="G19" s="402">
        <f t="shared" si="1"/>
        <v>86.307000000000016</v>
      </c>
      <c r="H19" s="400">
        <f t="shared" si="1"/>
        <v>733.68000000000006</v>
      </c>
      <c r="I19" s="385">
        <f t="shared" si="1"/>
        <v>183.42000000000002</v>
      </c>
      <c r="J19" s="40"/>
      <c r="K19" s="41"/>
      <c r="L19" s="40"/>
      <c r="M19" s="40"/>
      <c r="N19" s="40"/>
      <c r="O19" s="40"/>
    </row>
  </sheetData>
  <mergeCells count="6">
    <mergeCell ref="D4:E4"/>
    <mergeCell ref="F4:G4"/>
    <mergeCell ref="H4:I4"/>
    <mergeCell ref="D6:E6"/>
    <mergeCell ref="F6:G6"/>
    <mergeCell ref="H6:I6"/>
  </mergeCells>
  <pageMargins left="0.25" right="0.25" top="0.75" bottom="0.75" header="0.3" footer="0.3"/>
  <pageSetup scale="5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F497D"/>
  </sheetPr>
  <dimension ref="A1:Q37"/>
  <sheetViews>
    <sheetView zoomScaleNormal="100" zoomScaleSheetLayoutView="70" workbookViewId="0">
      <selection activeCell="B4" sqref="B4:N17"/>
    </sheetView>
  </sheetViews>
  <sheetFormatPr defaultRowHeight="14.5"/>
  <cols>
    <col min="1" max="1" width="4.453125" customWidth="1"/>
    <col min="2" max="2" width="14.453125" customWidth="1"/>
    <col min="3" max="3" width="16.1796875" customWidth="1"/>
    <col min="4" max="4" width="18.81640625" customWidth="1"/>
    <col min="5" max="5" width="14.453125" customWidth="1"/>
    <col min="6" max="6" width="17.54296875" customWidth="1"/>
    <col min="7" max="7" width="18.81640625" customWidth="1"/>
    <col min="8" max="10" width="18.54296875" customWidth="1"/>
    <col min="11" max="12" width="21" customWidth="1"/>
    <col min="13" max="14" width="20.54296875" customWidth="1"/>
    <col min="16" max="16" width="21.54296875" customWidth="1"/>
    <col min="17" max="17" width="16.54296875" customWidth="1"/>
  </cols>
  <sheetData>
    <row r="1" spans="1:17" ht="24.5">
      <c r="A1" s="246"/>
      <c r="B1" s="247"/>
      <c r="C1" s="248"/>
      <c r="D1" s="248"/>
      <c r="E1" s="247"/>
      <c r="F1" s="247"/>
      <c r="G1" s="247"/>
      <c r="H1" s="247"/>
      <c r="I1" s="247"/>
      <c r="J1" s="247"/>
      <c r="K1" s="247"/>
      <c r="L1" s="247"/>
      <c r="M1" s="247"/>
      <c r="N1" s="247"/>
      <c r="O1" s="60"/>
      <c r="P1" s="249"/>
    </row>
    <row r="2" spans="1:17" ht="17">
      <c r="A2" s="247"/>
      <c r="B2" s="250" t="s">
        <v>188</v>
      </c>
      <c r="C2" s="251"/>
      <c r="D2" s="251"/>
      <c r="E2" s="247"/>
      <c r="F2" s="247"/>
      <c r="G2" s="247"/>
      <c r="H2" s="247"/>
      <c r="I2" s="247"/>
      <c r="J2" s="247"/>
      <c r="K2" s="247"/>
      <c r="L2" s="247"/>
      <c r="M2" s="247"/>
      <c r="N2" s="247"/>
      <c r="O2" s="60"/>
      <c r="P2" s="249"/>
    </row>
    <row r="3" spans="1:17" ht="17.5" thickBot="1">
      <c r="A3" s="247"/>
      <c r="B3" s="250" t="s">
        <v>118</v>
      </c>
      <c r="C3" s="250"/>
      <c r="D3" s="248"/>
      <c r="E3" s="247"/>
      <c r="F3" s="247"/>
      <c r="G3" s="247"/>
      <c r="H3" s="247"/>
      <c r="I3" s="247"/>
      <c r="J3" s="247"/>
      <c r="K3" s="247"/>
      <c r="L3" s="247"/>
      <c r="M3" s="247"/>
      <c r="N3" s="247"/>
      <c r="O3" s="60"/>
      <c r="P3" s="249"/>
    </row>
    <row r="4" spans="1:17" ht="18.75" customHeight="1">
      <c r="A4" s="247"/>
      <c r="B4" s="519" t="s">
        <v>189</v>
      </c>
      <c r="C4" s="520"/>
      <c r="D4" s="520"/>
      <c r="E4" s="520"/>
      <c r="F4" s="520"/>
      <c r="G4" s="520"/>
      <c r="H4" s="520"/>
      <c r="I4" s="520"/>
      <c r="J4" s="520"/>
      <c r="K4" s="520"/>
      <c r="L4" s="520"/>
      <c r="M4" s="520"/>
      <c r="N4" s="521"/>
      <c r="O4" s="60"/>
      <c r="P4" s="249"/>
    </row>
    <row r="5" spans="1:17" ht="17.5" thickBot="1">
      <c r="A5" s="247"/>
      <c r="B5" s="522"/>
      <c r="C5" s="523"/>
      <c r="D5" s="523"/>
      <c r="E5" s="523"/>
      <c r="F5" s="523"/>
      <c r="G5" s="523"/>
      <c r="H5" s="523"/>
      <c r="I5" s="523"/>
      <c r="J5" s="523"/>
      <c r="K5" s="523"/>
      <c r="L5" s="523"/>
      <c r="M5" s="523"/>
      <c r="N5" s="524"/>
      <c r="O5" s="60"/>
      <c r="P5" s="249"/>
    </row>
    <row r="6" spans="1:17" ht="122.25" customHeight="1">
      <c r="A6" s="252"/>
      <c r="B6" s="253" t="s">
        <v>190</v>
      </c>
      <c r="C6" s="254" t="s">
        <v>191</v>
      </c>
      <c r="D6" s="254" t="s">
        <v>192</v>
      </c>
      <c r="E6" s="254" t="s">
        <v>193</v>
      </c>
      <c r="F6" s="255" t="s">
        <v>194</v>
      </c>
      <c r="G6" s="254" t="s">
        <v>195</v>
      </c>
      <c r="H6" s="256" t="s">
        <v>196</v>
      </c>
      <c r="I6" s="257" t="s">
        <v>197</v>
      </c>
      <c r="J6" s="257" t="s">
        <v>198</v>
      </c>
      <c r="K6" s="257" t="s">
        <v>199</v>
      </c>
      <c r="L6" s="257" t="s">
        <v>200</v>
      </c>
      <c r="M6" s="258" t="s">
        <v>201</v>
      </c>
      <c r="N6" s="259" t="s">
        <v>202</v>
      </c>
      <c r="O6" s="60"/>
      <c r="P6" s="260"/>
    </row>
    <row r="7" spans="1:17" ht="30.75" customHeight="1">
      <c r="A7" s="252"/>
      <c r="B7" s="261"/>
      <c r="C7" s="262"/>
      <c r="D7" s="262"/>
      <c r="E7" s="263" t="s">
        <v>8</v>
      </c>
      <c r="F7" s="263" t="s">
        <v>9</v>
      </c>
      <c r="G7" s="263" t="s">
        <v>203</v>
      </c>
      <c r="H7" s="264" t="s">
        <v>204</v>
      </c>
      <c r="I7" s="264" t="s">
        <v>12</v>
      </c>
      <c r="J7" s="264" t="s">
        <v>205</v>
      </c>
      <c r="K7" s="264" t="s">
        <v>206</v>
      </c>
      <c r="L7" s="264" t="s">
        <v>207</v>
      </c>
      <c r="M7" s="264" t="s">
        <v>208</v>
      </c>
      <c r="N7" s="265" t="s">
        <v>209</v>
      </c>
      <c r="O7" s="60"/>
      <c r="P7" s="260"/>
    </row>
    <row r="8" spans="1:17" ht="17">
      <c r="A8" s="252"/>
      <c r="B8" s="266"/>
      <c r="C8" s="267"/>
      <c r="D8" s="267"/>
      <c r="E8" s="267"/>
      <c r="F8" s="267"/>
      <c r="G8" s="267"/>
      <c r="H8" s="268"/>
      <c r="I8" s="268"/>
      <c r="J8" s="268"/>
      <c r="K8" s="268"/>
      <c r="L8" s="268"/>
      <c r="M8" s="269"/>
      <c r="N8" s="270"/>
      <c r="O8" s="60"/>
      <c r="P8" s="235"/>
    </row>
    <row r="9" spans="1:17" ht="17">
      <c r="A9" s="247"/>
      <c r="B9" s="271" t="s">
        <v>210</v>
      </c>
      <c r="C9" s="272">
        <v>2019</v>
      </c>
      <c r="D9" s="272" t="s">
        <v>211</v>
      </c>
      <c r="E9" s="386">
        <v>1612777</v>
      </c>
      <c r="F9" s="273">
        <v>0</v>
      </c>
      <c r="G9" s="273">
        <f>E9-F9</f>
        <v>1612777</v>
      </c>
      <c r="H9" s="273"/>
      <c r="I9" s="273"/>
      <c r="J9" s="273"/>
      <c r="K9" s="273"/>
      <c r="L9" s="273"/>
      <c r="M9" s="274"/>
      <c r="N9" s="275"/>
      <c r="O9" s="60"/>
      <c r="P9" s="276"/>
      <c r="Q9" s="235"/>
    </row>
    <row r="10" spans="1:17" ht="17">
      <c r="A10" s="247"/>
      <c r="B10" s="277"/>
      <c r="C10" s="272">
        <v>2020</v>
      </c>
      <c r="D10" s="272" t="s">
        <v>212</v>
      </c>
      <c r="E10" s="386">
        <v>1548686</v>
      </c>
      <c r="F10" s="273">
        <v>0</v>
      </c>
      <c r="G10" s="273">
        <f t="shared" ref="G10:G11" si="0">E10-F10</f>
        <v>1548686</v>
      </c>
      <c r="H10" s="273"/>
      <c r="I10" s="273"/>
      <c r="J10" s="273"/>
      <c r="K10" s="273"/>
      <c r="L10" s="273"/>
      <c r="M10" s="274"/>
      <c r="N10" s="275"/>
      <c r="O10" s="60"/>
      <c r="P10" s="276"/>
    </row>
    <row r="11" spans="1:17" ht="17">
      <c r="A11" s="247"/>
      <c r="B11" s="271"/>
      <c r="C11" s="272">
        <v>2021</v>
      </c>
      <c r="D11" s="272" t="s">
        <v>213</v>
      </c>
      <c r="E11" s="386">
        <v>1573489</v>
      </c>
      <c r="F11" s="273">
        <v>0</v>
      </c>
      <c r="G11" s="273">
        <f t="shared" si="0"/>
        <v>1573489</v>
      </c>
      <c r="H11" s="273"/>
      <c r="I11" s="273"/>
      <c r="J11" s="273"/>
      <c r="K11" s="273"/>
      <c r="L11" s="273"/>
      <c r="M11" s="274"/>
      <c r="N11" s="275"/>
      <c r="O11" s="60"/>
      <c r="P11" s="249"/>
    </row>
    <row r="12" spans="1:17" ht="17.5" thickBot="1">
      <c r="A12" s="249"/>
      <c r="B12" s="278"/>
      <c r="C12" s="279" t="s">
        <v>214</v>
      </c>
      <c r="D12" s="279"/>
      <c r="E12" s="280"/>
      <c r="F12" s="280"/>
      <c r="G12" s="280"/>
      <c r="H12" s="280">
        <f>AVERAGE(G9:G11)</f>
        <v>1578317.3333333333</v>
      </c>
      <c r="I12" s="281">
        <v>0</v>
      </c>
      <c r="J12" s="282">
        <v>0</v>
      </c>
      <c r="K12" s="281">
        <v>0</v>
      </c>
      <c r="L12" s="282">
        <v>0</v>
      </c>
      <c r="M12" s="283">
        <v>0</v>
      </c>
      <c r="N12" s="284">
        <v>0</v>
      </c>
      <c r="O12" s="60"/>
      <c r="P12" s="249"/>
    </row>
    <row r="13" spans="1:17" ht="17">
      <c r="A13" s="247"/>
      <c r="B13" s="285"/>
      <c r="C13" s="286"/>
      <c r="D13" s="286"/>
      <c r="E13" s="287"/>
      <c r="F13" s="288"/>
      <c r="G13" s="288"/>
      <c r="H13" s="289"/>
      <c r="I13" s="289"/>
      <c r="J13" s="289"/>
      <c r="K13" s="289"/>
      <c r="L13" s="289"/>
      <c r="M13" s="288"/>
      <c r="N13" s="290"/>
      <c r="O13" s="60"/>
      <c r="P13" s="249"/>
    </row>
    <row r="14" spans="1:17" ht="17">
      <c r="A14" s="247"/>
      <c r="B14" s="291" t="s">
        <v>215</v>
      </c>
      <c r="C14" s="292"/>
      <c r="D14" s="292"/>
      <c r="E14" s="293"/>
      <c r="F14" s="293"/>
      <c r="G14" s="293"/>
      <c r="H14" s="293"/>
      <c r="I14" s="293"/>
      <c r="J14" s="293"/>
      <c r="K14" s="293"/>
      <c r="L14" s="293"/>
      <c r="M14" s="293"/>
      <c r="N14" s="293"/>
      <c r="O14" s="60"/>
      <c r="P14" s="249"/>
    </row>
    <row r="15" spans="1:17" ht="17">
      <c r="A15" s="247"/>
      <c r="B15" s="294" t="s">
        <v>216</v>
      </c>
      <c r="C15" s="292"/>
      <c r="D15" s="292"/>
      <c r="E15" s="293"/>
      <c r="F15" s="293"/>
      <c r="G15" s="293"/>
      <c r="H15" s="293"/>
      <c r="I15" s="293"/>
      <c r="J15" s="293"/>
      <c r="K15" s="293"/>
      <c r="L15" s="293"/>
      <c r="M15" s="293"/>
      <c r="N15" s="293"/>
      <c r="O15" s="60"/>
      <c r="P15" s="249"/>
    </row>
    <row r="16" spans="1:17" ht="17">
      <c r="A16" s="247"/>
      <c r="B16" s="294" t="s">
        <v>217</v>
      </c>
      <c r="C16" s="292"/>
      <c r="D16" s="292"/>
      <c r="E16" s="293"/>
      <c r="F16" s="293"/>
      <c r="G16" s="293"/>
      <c r="H16" s="293"/>
      <c r="I16" s="293"/>
      <c r="J16" s="293"/>
      <c r="K16" s="293"/>
      <c r="L16" s="293"/>
      <c r="M16" s="293"/>
      <c r="N16" s="293"/>
      <c r="O16" s="60"/>
      <c r="P16" s="249"/>
    </row>
    <row r="17" spans="1:15" ht="17">
      <c r="A17" s="247"/>
      <c r="B17" s="294" t="s">
        <v>218</v>
      </c>
      <c r="C17" s="292"/>
      <c r="D17" s="292"/>
      <c r="E17" s="293"/>
      <c r="F17" s="293"/>
      <c r="G17" s="293"/>
      <c r="H17" s="293"/>
      <c r="I17" s="293"/>
      <c r="J17" s="293"/>
      <c r="K17" s="293"/>
      <c r="L17" s="293"/>
      <c r="M17" s="293"/>
      <c r="N17" s="293"/>
      <c r="O17" s="60"/>
    </row>
    <row r="18" spans="1:15" ht="17">
      <c r="A18" s="247"/>
      <c r="B18" s="293"/>
      <c r="C18" s="292"/>
      <c r="D18" s="292"/>
      <c r="E18" s="293"/>
      <c r="F18" s="293"/>
      <c r="G18" s="293"/>
      <c r="H18" s="293"/>
      <c r="I18" s="293"/>
      <c r="J18" s="293"/>
      <c r="K18" s="293"/>
      <c r="L18" s="293"/>
      <c r="M18" s="293"/>
      <c r="N18" s="293"/>
      <c r="O18" s="60"/>
    </row>
    <row r="22" spans="1:15">
      <c r="B22" s="20" t="s">
        <v>361</v>
      </c>
      <c r="C22" s="203">
        <v>375625</v>
      </c>
    </row>
    <row r="23" spans="1:15">
      <c r="B23" s="20" t="s">
        <v>362</v>
      </c>
      <c r="C23" s="203">
        <v>393809</v>
      </c>
    </row>
    <row r="24" spans="1:15">
      <c r="B24" s="20" t="s">
        <v>363</v>
      </c>
      <c r="C24" s="203">
        <v>512756</v>
      </c>
    </row>
    <row r="25" spans="1:15">
      <c r="B25" s="20" t="s">
        <v>364</v>
      </c>
      <c r="C25" s="203">
        <v>362963</v>
      </c>
    </row>
    <row r="26" spans="1:15">
      <c r="B26" s="20" t="s">
        <v>357</v>
      </c>
      <c r="C26" s="203">
        <v>368981</v>
      </c>
    </row>
    <row r="27" spans="1:15">
      <c r="B27" s="20" t="s">
        <v>358</v>
      </c>
      <c r="C27" s="203">
        <v>368077</v>
      </c>
    </row>
    <row r="28" spans="1:15">
      <c r="B28" s="20" t="s">
        <v>359</v>
      </c>
      <c r="C28" s="203">
        <v>485003</v>
      </c>
    </row>
    <row r="29" spans="1:15">
      <c r="B29" s="20" t="s">
        <v>360</v>
      </c>
      <c r="C29" s="203">
        <v>357654</v>
      </c>
    </row>
    <row r="30" spans="1:15">
      <c r="B30" s="20" t="s">
        <v>349</v>
      </c>
      <c r="C30" s="203">
        <v>347000</v>
      </c>
    </row>
    <row r="31" spans="1:15">
      <c r="B31" s="20" t="s">
        <v>350</v>
      </c>
      <c r="C31" s="203">
        <v>359029</v>
      </c>
    </row>
    <row r="32" spans="1:15">
      <c r="B32" s="20" t="s">
        <v>355</v>
      </c>
      <c r="C32" s="203">
        <v>486614</v>
      </c>
    </row>
    <row r="33" spans="2:3">
      <c r="B33" s="20" t="s">
        <v>356</v>
      </c>
      <c r="C33" s="203">
        <v>355226</v>
      </c>
    </row>
    <row r="34" spans="2:3">
      <c r="B34" s="20" t="s">
        <v>351</v>
      </c>
      <c r="C34" s="203">
        <v>357588</v>
      </c>
    </row>
    <row r="35" spans="2:3">
      <c r="B35" s="20" t="s">
        <v>352</v>
      </c>
      <c r="C35" s="203">
        <v>374061</v>
      </c>
    </row>
    <row r="36" spans="2:3">
      <c r="B36" s="20" t="s">
        <v>353</v>
      </c>
      <c r="C36" s="203">
        <v>460266</v>
      </c>
    </row>
    <row r="37" spans="2:3">
      <c r="B37" s="20" t="s">
        <v>354</v>
      </c>
      <c r="C37" s="203">
        <v>342425</v>
      </c>
    </row>
  </sheetData>
  <mergeCells count="1">
    <mergeCell ref="B4:N5"/>
  </mergeCells>
  <phoneticPr fontId="32" type="noConversion"/>
  <pageMargins left="0.6" right="0.21" top="0.77" bottom="0.74" header="0.5" footer="0.5"/>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5E26D29C6A204E8099981F1DB64922" ma:contentTypeVersion="4" ma:contentTypeDescription="Create a new document." ma:contentTypeScope="" ma:versionID="1c10a9e3d670c8bc454fa7d1a814e19f">
  <xsd:schema xmlns:xsd="http://www.w3.org/2001/XMLSchema" xmlns:xs="http://www.w3.org/2001/XMLSchema" xmlns:p="http://schemas.microsoft.com/office/2006/metadata/properties" xmlns:ns2="67f4faaa-98e4-4c64-b600-a96b0554d0cd" xmlns:ns3="1640fdd7-e3e9-4b33-b4ff-9ab203a7e4a5" targetNamespace="http://schemas.microsoft.com/office/2006/metadata/properties" ma:root="true" ma:fieldsID="556e726f8fb1d2979cd060d8637ab753" ns2:_="" ns3:_="">
    <xsd:import namespace="67f4faaa-98e4-4c64-b600-a96b0554d0cd"/>
    <xsd:import namespace="1640fdd7-e3e9-4b33-b4ff-9ab203a7e4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4faaa-98e4-4c64-b600-a96b0554d0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40fdd7-e3e9-4b33-b4ff-9ab203a7e4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2c24b65-e92f-4a60-9a3c-2fd7a4e0b55d"/>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A4519F6-794C-47A8-9E10-CA12713392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Table 1</vt:lpstr>
      <vt:lpstr>Tables 2-6</vt:lpstr>
      <vt:lpstr>Table 7 TRIMMED</vt:lpstr>
      <vt:lpstr>Table 8</vt:lpstr>
      <vt:lpstr>Ap A - Participant Def</vt:lpstr>
      <vt:lpstr>Ap B - Qtr Electric Master</vt:lpstr>
      <vt:lpstr> Ap C - Qtr Electric LMI</vt:lpstr>
      <vt:lpstr> Ap D - Qtr Electric Business</vt:lpstr>
      <vt:lpstr>Ap E - NJ CEA Benchmarks</vt:lpstr>
      <vt:lpstr>AP F - Secondary Metrics</vt:lpstr>
      <vt:lpstr>AP G - Transfer</vt:lpstr>
      <vt:lpstr>AP H - CostTest</vt:lpstr>
      <vt:lpstr>AP I - Program Changes</vt:lpstr>
      <vt:lpstr>RECO</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Madnick, Philip</cp:lastModifiedBy>
  <cp:revision/>
  <dcterms:created xsi:type="dcterms:W3CDTF">2021-03-17T19:24:16Z</dcterms:created>
  <dcterms:modified xsi:type="dcterms:W3CDTF">2022-10-17T05:26:15Z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0x0101007B35D410A093C64FAEB38F891A653508</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