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4 2023/Final Versions/"/>
    </mc:Choice>
  </mc:AlternateContent>
  <bookViews>
    <workbookView xWindow="0" yWindow="0" windowWidth="19200" windowHeight="7050" tabRatio="599" firstSheet="3" activeTab="9"/>
  </bookViews>
  <sheets>
    <sheet name="ACE" sheetId="49" r:id="rId1"/>
    <sheet name="Table 1" sheetId="35" r:id="rId2"/>
    <sheet name="Tables 2-6" sheetId="36" r:id="rId3"/>
    <sheet name="Table 7" sheetId="37" r:id="rId4"/>
    <sheet name="Table 8" sheetId="38" r:id="rId5"/>
    <sheet name="Table 9" sheetId="47" r:id="rId6"/>
    <sheet name="Ap A - Participant Def" sheetId="39" r:id="rId7"/>
    <sheet name="Ap B - Qtr Electric Master" sheetId="27" r:id="rId8"/>
    <sheet name=" Ap C - Qtr Electric LMI" sheetId="29" r:id="rId9"/>
    <sheet name=" Ap D - Qtr Electric Business" sheetId="30" r:id="rId10"/>
    <sheet name="Ap E - NJ CEA Benchmarks" sheetId="40" r:id="rId11"/>
    <sheet name="AP F - Secondary Metrics" sheetId="41" r:id="rId12"/>
    <sheet name="AP G - Transfer" sheetId="42" r:id="rId13"/>
    <sheet name="AP H - CostTest" sheetId="48" r:id="rId14"/>
    <sheet name="AP I - Program Changes" sheetId="44"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s>
  <definedNames>
    <definedName name="\B">#REF!</definedName>
    <definedName name="\C">#REF!</definedName>
    <definedName name="\D">#REF!</definedName>
    <definedName name="\E">[1]JobDefinition!#REF!</definedName>
    <definedName name="\M">#REF!</definedName>
    <definedName name="\O">#REF!</definedName>
    <definedName name="\P">#REF!</definedName>
    <definedName name="\Q">#REF!</definedName>
    <definedName name="\R">#REF!</definedName>
    <definedName name="\S">#REF!</definedName>
    <definedName name="\U">#REF!</definedName>
    <definedName name="\V">#REF!</definedName>
    <definedName name="\W">[1]JobDefinition!#REF!</definedName>
    <definedName name="_">'[2]BUD CAP'!$P$33</definedName>
    <definedName name="_________DAT4">#REF!</definedName>
    <definedName name="_______DAT4">#REF!</definedName>
    <definedName name="____DAT4">#REF!</definedName>
    <definedName name="____New2">#REF!</definedName>
    <definedName name="____New3">#REF!</definedName>
    <definedName name="____New4">#REF!</definedName>
    <definedName name="___Key2" hidden="1">#REF!</definedName>
    <definedName name="___New2">#REF!</definedName>
    <definedName name="___New3">#REF!</definedName>
    <definedName name="___New4">#REF!</definedName>
    <definedName name="__123Graph_B" hidden="1">[3]Depreciation!#REF!</definedName>
    <definedName name="__123Graph_C" hidden="1">[3]Depreciation!#REF!</definedName>
    <definedName name="__123Graph_D" hidden="1">[3]Depreciation!#REF!</definedName>
    <definedName name="__123Graph_E" hidden="1">[3]Depreciation!#REF!</definedName>
    <definedName name="__123Graph_F" hidden="1">[3]Depreciation!#REF!</definedName>
    <definedName name="__AAL1">#REF!</definedName>
    <definedName name="__agr8690">[4]Model!$I$58</definedName>
    <definedName name="__agr8790">[4]Model!$I$59</definedName>
    <definedName name="__agr8791">[4]Model!$J$59</definedName>
    <definedName name="__agr8890">[4]Model!$I$60</definedName>
    <definedName name="__agr8891">[4]Model!$J$60</definedName>
    <definedName name="__agr8892">[4]Model!$K$60</definedName>
    <definedName name="__agr8990">[4]Model!$I$61</definedName>
    <definedName name="__agr8991">[4]Model!$J$61</definedName>
    <definedName name="__agr8992">[4]Model!$K$61</definedName>
    <definedName name="__agr8993">[4]Model!$L$61</definedName>
    <definedName name="__agr9091">[4]Model!$J$62</definedName>
    <definedName name="__agr9092">[4]Model!$K$62</definedName>
    <definedName name="__agr9093">[4]Model!$L$62</definedName>
    <definedName name="__agr9094">[4]Model!$M$62</definedName>
    <definedName name="__agr9192">[4]Model!$K$63</definedName>
    <definedName name="__agr9193">[4]Model!$L$63</definedName>
    <definedName name="__agr9194">[4]Model!$M$63</definedName>
    <definedName name="__agr9195">[4]Model!$N$63</definedName>
    <definedName name="__agr9293">[4]Model!$L$64</definedName>
    <definedName name="__agr9294">[4]Model!$M$64</definedName>
    <definedName name="__agr9295">[4]Model!$N$64</definedName>
    <definedName name="__agr9296">[4]Model!$O$64</definedName>
    <definedName name="__agr9394">[4]Model!$M$65</definedName>
    <definedName name="__agr9395">[4]Model!$N$65</definedName>
    <definedName name="__agr9396">[4]Model!$O$65</definedName>
    <definedName name="__agr9397">[4]Model!$P$65</definedName>
    <definedName name="__agr9495">[4]Model!$N$66</definedName>
    <definedName name="__agr9496">[4]Model!$O$66</definedName>
    <definedName name="__agr9497">[4]Model!$P$66</definedName>
    <definedName name="__agr9498">[4]Model!$Q$66</definedName>
    <definedName name="__agr9596">[4]Model!$O$67</definedName>
    <definedName name="__agr9597">[4]Model!$P$67</definedName>
    <definedName name="__agr9598">[4]Model!$Q$67</definedName>
    <definedName name="__agr9697">[4]Model!$P$68</definedName>
    <definedName name="__agr9698">[4]Model!$Q$68</definedName>
    <definedName name="__agr9798">[4]Model!$Q$69</definedName>
    <definedName name="__DAT4">#REF!</definedName>
    <definedName name="__Key2" hidden="1">#REF!</definedName>
    <definedName name="__key7">[5]Sheet2!$AE$1:$AE$24</definedName>
    <definedName name="__mm1">#REF!</definedName>
    <definedName name="__mm10">#REF!</definedName>
    <definedName name="__mm11">#REF!</definedName>
    <definedName name="__mm12">#REF!</definedName>
    <definedName name="__mm13">#REF!</definedName>
    <definedName name="__mm14">#REF!</definedName>
    <definedName name="__mm15">#REF!</definedName>
    <definedName name="__mm16">#REF!</definedName>
    <definedName name="__mm17">#REF!</definedName>
    <definedName name="__mm18">#REF!</definedName>
    <definedName name="__mm19">#REF!</definedName>
    <definedName name="__mm2">#REF!</definedName>
    <definedName name="__mm3">#REF!</definedName>
    <definedName name="__mm4">#REF!</definedName>
    <definedName name="__mm5">#REF!</definedName>
    <definedName name="__mm7">#REF!</definedName>
    <definedName name="__mm8">#REF!</definedName>
    <definedName name="__mm9">#REF!</definedName>
    <definedName name="__New2">#REF!</definedName>
    <definedName name="__New3">#REF!</definedName>
    <definedName name="__New4">#REF!</definedName>
    <definedName name="__pgm5">[5]Sheet2!$AF$1:$AF$3</definedName>
    <definedName name="__qre2">'[6]IDR 15'!$A$1:$H$214</definedName>
    <definedName name="__qre84">'[4]QRE''s'!$D:$D</definedName>
    <definedName name="__qre8490">[4]Model!$I$126</definedName>
    <definedName name="__qre8491">[4]Model!$J$126</definedName>
    <definedName name="__qre8492">[4]Model!$K$126</definedName>
    <definedName name="__qre8493">[4]Model!$L$126</definedName>
    <definedName name="__qre8494">[4]Model!$M$126</definedName>
    <definedName name="__qre8495">[4]Model!$N$126</definedName>
    <definedName name="__qre8496">[4]Model!$O$126</definedName>
    <definedName name="__qre8497">[4]Model!$P$126</definedName>
    <definedName name="__qre8498">[4]Model!$Q$126</definedName>
    <definedName name="__qre85">'[4]QRE''s'!$E:$E</definedName>
    <definedName name="__qre8590">[4]Model!$I$127</definedName>
    <definedName name="__qre8591">[4]Model!$J$127</definedName>
    <definedName name="__qre8592">[4]Model!$K$127</definedName>
    <definedName name="__qre8593">[4]Model!$L$127</definedName>
    <definedName name="__qre8594">[4]Model!$M$127</definedName>
    <definedName name="__qre8595">[4]Model!$N$127</definedName>
    <definedName name="__qre8596">[4]Model!$O$127</definedName>
    <definedName name="__qre8597">[4]Model!$P$127</definedName>
    <definedName name="__qre8598">[4]Model!$Q$127</definedName>
    <definedName name="__qre86">'[4]QRE''s'!$F:$F</definedName>
    <definedName name="__qre8690">[4]Model!$I$128</definedName>
    <definedName name="__qre8691">[4]Model!$J$128</definedName>
    <definedName name="__qre8692">[4]Model!$K$128</definedName>
    <definedName name="__qre8693">[4]Model!$L$128</definedName>
    <definedName name="__qre8694">[4]Model!$M$128</definedName>
    <definedName name="__qre8695">[4]Model!$N$128</definedName>
    <definedName name="__qre8696">[4]Model!$O$128</definedName>
    <definedName name="__qre8697">[4]Model!$P$128</definedName>
    <definedName name="__qre8698">[4]Model!$Q$128</definedName>
    <definedName name="__qre87">'[4]QRE''s'!$G:$G</definedName>
    <definedName name="__qre8790">[4]Model!$I$129</definedName>
    <definedName name="__qre8791">[4]Model!$J$129</definedName>
    <definedName name="__qre8792">[4]Model!$K$129</definedName>
    <definedName name="__qre8793">[4]Model!$L$129</definedName>
    <definedName name="__qre8794">[4]Model!$M$129</definedName>
    <definedName name="__qre8795">[4]Model!$N$129</definedName>
    <definedName name="__qre8796">[4]Model!$O$129</definedName>
    <definedName name="__qre8797">[4]Model!$P$129</definedName>
    <definedName name="__qre8798">[4]Model!$Q$129</definedName>
    <definedName name="__qre88">'[4]QRE''s'!$H:$H</definedName>
    <definedName name="__qre8890">[4]Model!$I$130</definedName>
    <definedName name="__qre8891">[4]Model!$J$130</definedName>
    <definedName name="__qre8892">[4]Model!$K$130</definedName>
    <definedName name="__qre8893">[4]Model!$L$130</definedName>
    <definedName name="__qre8894">[4]Model!$M$130</definedName>
    <definedName name="__qre8895">[4]Model!$N$130</definedName>
    <definedName name="__qre8896">[4]Model!$O$130</definedName>
    <definedName name="__qre8897">[4]Model!$P$130</definedName>
    <definedName name="__qre8898">[4]Model!$Q$130</definedName>
    <definedName name="__qre89">'[4]QRE''s'!$I:$I</definedName>
    <definedName name="__qre90">'[4]QRE''s'!$J:$J</definedName>
    <definedName name="__qre91">'[4]QRE''s'!$K:$K</definedName>
    <definedName name="__qre92">'[4]QRE''s'!$L:$L</definedName>
    <definedName name="__qre93">'[4]QRE''s'!$M:$M</definedName>
    <definedName name="__qre94">'[4]QRE''s'!$N:$N</definedName>
    <definedName name="__qre95">'[4]QRE''s'!$O:$O</definedName>
    <definedName name="__qre96">'[4]QRE''s'!$P:$P</definedName>
    <definedName name="__qre97">'[4]QRE''s'!$Q:$Q</definedName>
    <definedName name="__qre98">'[4]QRE''s'!$R:$R</definedName>
    <definedName name="__reg4">[5]Sheet2!$AF$1:$AF$3</definedName>
    <definedName name="__ryr56565" hidden="1">{#N/A,#N/A,FALSE,"Monthly SAIFI";#N/A,#N/A,FALSE,"Yearly SAIFI";#N/A,#N/A,FALSE,"Monthly CAIDI";#N/A,#N/A,FALSE,"Yearly CAIDI";#N/A,#N/A,FALSE,"Monthly SAIDI";#N/A,#N/A,FALSE,"Yearly SAIDI";#N/A,#N/A,FALSE,"Monthly MAIFI";#N/A,#N/A,FALSE,"Yearly MAIFI";#N/A,#N/A,FALSE,"Monthly Cust &gt;=4 Int"}</definedName>
    <definedName name="__tqc90">'[4]QRE''s'!$J$101</definedName>
    <definedName name="__tqc91">'[4]QRE''s'!$K$101</definedName>
    <definedName name="__tqc92">'[4]QRE''s'!$L$101</definedName>
    <definedName name="__tqc93">'[4]QRE''s'!$M$101</definedName>
    <definedName name="__tqc94">'[4]QRE''s'!$N$101</definedName>
    <definedName name="__tqc95">'[4]QRE''s'!$O$101</definedName>
    <definedName name="__tqc96">'[4]QRE''s'!$P$101</definedName>
    <definedName name="__tqc97">'[4]QRE''s'!$Q$101</definedName>
    <definedName name="__tqc98">'[4]QRE''s'!$R$101</definedName>
    <definedName name="__tql90">'[4]QRE''s'!$J$99</definedName>
    <definedName name="__tql91">'[4]QRE''s'!$K$99</definedName>
    <definedName name="__tql92">'[4]QRE''s'!$L$99</definedName>
    <definedName name="__tql93">'[4]QRE''s'!$M$99</definedName>
    <definedName name="__tql94">'[4]QRE''s'!$N$99</definedName>
    <definedName name="__tql95">'[4]QRE''s'!$O$99</definedName>
    <definedName name="__tql96">'[4]QRE''s'!$P$99</definedName>
    <definedName name="__tql97">'[4]QRE''s'!$Q$99</definedName>
    <definedName name="__tql98">'[4]QRE''s'!$R$99</definedName>
    <definedName name="__tqs90">'[4]QRE''s'!$J$100</definedName>
    <definedName name="__tqs91">'[4]QRE''s'!$K$100</definedName>
    <definedName name="__tqs92">'[4]QRE''s'!$L$100</definedName>
    <definedName name="__tqs93">'[4]QRE''s'!$M$100</definedName>
    <definedName name="__tqs94">'[4]QRE''s'!$N$100</definedName>
    <definedName name="__tqs95">'[4]QRE''s'!$O$100</definedName>
    <definedName name="__tqs96">'[4]QRE''s'!$P$100</definedName>
    <definedName name="__tqs97">'[4]QRE''s'!$Q$100</definedName>
    <definedName name="__tqs98">'[4]QRE''s'!$R$100</definedName>
    <definedName name="__zc22">#REF!</definedName>
    <definedName name="_1__123Graph_ACONTRACT_BY_B_U" hidden="1">'[4]QRE Charts'!$D$275:$Q$275</definedName>
    <definedName name="_10__123Graph_BQRE_S_BY_TYPE" hidden="1">'[4]QRE''s'!$D$100:$R$100</definedName>
    <definedName name="_11__123Graph_BSENS_COMPARISON" hidden="1">'[4]QRE Charts'!$E$366:$O$366</definedName>
    <definedName name="_12__123Graph_BSUPPLIES_BY_B_U" hidden="1">'[4]QRE Charts'!$D$250:$Q$250</definedName>
    <definedName name="_13__123Graph_BTAX_CREDIT" hidden="1">'[4]QRE Charts'!$E$332:$E$342</definedName>
    <definedName name="_14__123Graph_BWAGES_BY_B_U" hidden="1">'[4]QRE Charts'!$D$224:$R$224</definedName>
    <definedName name="_15__123Graph_CCONTRACT_BY_B_U" hidden="1">'[4]QRE Charts'!$D$277:$Q$277</definedName>
    <definedName name="_16__123Graph_CQRE_S_BY_CO." hidden="1">'[4]QRE Charts'!$D$303:$R$303</definedName>
    <definedName name="_17__123Graph_CQRE_S_BY_TYPE" hidden="1">'[4]QRE''s'!$D$101:$R$101</definedName>
    <definedName name="_18__123Graph_CSENS_COMPARISON" hidden="1">'[4]QRE Charts'!$E$367:$O$367</definedName>
    <definedName name="_19__123Graph_CSUPPLIES_BY_B_U" hidden="1">'[4]QRE Charts'!$D$251:$Q$251</definedName>
    <definedName name="_2__123Graph_AQRE_S_BY_CO." hidden="1">'[4]QRE Charts'!$D$301:$R$301</definedName>
    <definedName name="_20__123Graph_CWAGES_BY_B_U" hidden="1">'[4]QRE Charts'!$D$225:$R$225</definedName>
    <definedName name="_20_MWS">#REF!</definedName>
    <definedName name="_21__123Graph_DCONTRACT_BY_B_U" hidden="1">'[4]QRE Charts'!$D$278:$Q$278</definedName>
    <definedName name="_21_MWS">#REF!</definedName>
    <definedName name="_22__123Graph_DQRE_S_BY_CO." hidden="1">'[4]QRE Charts'!$D$304:$R$304</definedName>
    <definedName name="_23__123Graph_DSUPPLIES_BY_B_U" hidden="1">'[4]QRE Charts'!$D$252:$Q$252</definedName>
    <definedName name="_23_MWS">#REF!</definedName>
    <definedName name="_24__123Graph_DWAGES_BY_B_U" hidden="1">'[4]QRE Charts'!$D$226:$R$226</definedName>
    <definedName name="_24_MWS">#REF!</definedName>
    <definedName name="_25__123Graph_ECONTRACT_BY_B_U" hidden="1">'[4]QRE Charts'!$D$279:$Q$279</definedName>
    <definedName name="_26__123Graph_EQRE_S_BY_CO." hidden="1">'[4]QRE Charts'!$D$305:$R$305</definedName>
    <definedName name="_27__123Graph_ESUPPLIES_BY_B_U" hidden="1">'[4]QRE Charts'!$D$253:$Q$253</definedName>
    <definedName name="_28__123Graph_EWAGES_BY_B_U" hidden="1">'[4]QRE Charts'!$D$227:$R$227</definedName>
    <definedName name="_29__123Graph_FCONTRACT_BY_B_U" hidden="1">'[4]QRE Charts'!$D$280:$Q$280</definedName>
    <definedName name="_3__123Graph_AQRE_S_BY_TYPE" hidden="1">'[4]QRE''s'!$D$99:$R$99</definedName>
    <definedName name="_30__123Graph_FQRE_S_BY_CO." hidden="1">'[4]QRE Charts'!$D$306:$R$306</definedName>
    <definedName name="_31__123Graph_FSUPPLIES_BY_B_U" hidden="1">'[4]QRE Charts'!$D$254:$Q$254</definedName>
    <definedName name="_32__123Graph_FWAGES_BY_B_U" hidden="1">'[4]QRE Charts'!$D$228:$R$228</definedName>
    <definedName name="_33__123Graph_XCONTRACT_BY_B_U" hidden="1">'[4]QRE Charts'!$D$222:$R$222</definedName>
    <definedName name="_34__123Graph_XQRE_S_BY_CO." hidden="1">'[4]QRE Charts'!$D$222:$R$222</definedName>
    <definedName name="_35__123Graph_XQRE_S_BY_TYPE" hidden="1">'[4]QRE Charts'!$D$222:$R$222</definedName>
    <definedName name="_35_MWS">#REF!</definedName>
    <definedName name="_36__123Graph_XSUPPLIES_BY_B_U" hidden="1">'[4]QRE Charts'!$D$222:$R$222</definedName>
    <definedName name="_37__123Graph_XTAX_CREDIT" hidden="1">'[4]QRE Charts'!$C$332:$C$342</definedName>
    <definedName name="_38_0_0_K" hidden="1">#REF!</definedName>
    <definedName name="_39_0_0_S" hidden="1">#REF!</definedName>
    <definedName name="_4__123Graph_ASENS_COMPARISON" hidden="1">'[4]QRE Charts'!$E$365:$O$365</definedName>
    <definedName name="_40_MWS">#REF!</definedName>
    <definedName name="_44_0_0_K" hidden="1">#REF!</definedName>
    <definedName name="_45_0_0_K" hidden="1">[7]Masterdata!#REF!</definedName>
    <definedName name="_45_MWS">#REF!</definedName>
    <definedName name="_5__123Graph_ASUPPLIES_BY_B_U" hidden="1">'[4]QRE Charts'!$D$249:$Q$249</definedName>
    <definedName name="_50_MWS">#REF!</definedName>
    <definedName name="_52_0_0_S" hidden="1">#REF!</definedName>
    <definedName name="_53_0_0_S" hidden="1">[7]Masterdata!#REF!</definedName>
    <definedName name="_55_MWS">#REF!</definedName>
    <definedName name="_6__123Graph_ATAX_CREDIT" hidden="1">'[4]QRE Charts'!$D$332:$D$342</definedName>
    <definedName name="_7__123Graph_AWAGES_BY_B_U" hidden="1">'[4]QRE Charts'!$D$223:$R$223</definedName>
    <definedName name="_8__123Graph_BCONTRACT_BY_B_U" hidden="1">'[4]QRE Charts'!$D$276:$Q$276</definedName>
    <definedName name="_84_PHASE1">[4]Comparison!$E$9:$E$165</definedName>
    <definedName name="_85_PHASE1">[4]Comparison!$I$9:$I$165</definedName>
    <definedName name="_86_PHASE1">[4]Comparison!$M$9:$M$165</definedName>
    <definedName name="_87_PHASE1">[4]Comparison!$Q$9:$Q$165</definedName>
    <definedName name="_88_PHASE1">[4]Comparison!$U$9:$U$165</definedName>
    <definedName name="_89_PHASE1">[4]Comparison!$AD$9:$AD$165</definedName>
    <definedName name="_9__123Graph_BQRE_S_BY_CO." hidden="1">'[4]QRE Charts'!$D$302:$R$302</definedName>
    <definedName name="_90_PHASE1">[4]Comparison!$AH$9:$AH$165</definedName>
    <definedName name="_91_PHASE1">[4]Comparison!$AL$9:$AL$165</definedName>
    <definedName name="_92_PHASE1">[4]Comparison!$AP$9:$AP$165</definedName>
    <definedName name="_93_PHASE1">[4]Comparison!$AT$9:$AT$165</definedName>
    <definedName name="_94_PHASE1">[4]Comparison!$AX$9:$AX$165</definedName>
    <definedName name="_95_PHASE1">[4]Comparison!$BB$9:$BB$165</definedName>
    <definedName name="_96_PHASE1">[4]Comparison!$BF$9:$BF$165</definedName>
    <definedName name="_97_PHASE1">[4]Comparison!$BJ$9:$BJ$165</definedName>
    <definedName name="_98_PHASE1">[4]Comparison!$BN$9:$BN$165</definedName>
    <definedName name="_AAL1">#REF!</definedName>
    <definedName name="_agr8690">[4]Model!$I$58</definedName>
    <definedName name="_agr8790">[4]Model!$I$59</definedName>
    <definedName name="_agr8791">[4]Model!$J$59</definedName>
    <definedName name="_agr8890">[4]Model!$I$60</definedName>
    <definedName name="_agr8891">[4]Model!$J$60</definedName>
    <definedName name="_agr8892">[4]Model!$K$60</definedName>
    <definedName name="_agr8990">[4]Model!$I$61</definedName>
    <definedName name="_agr8991">[4]Model!$J$61</definedName>
    <definedName name="_agr8992">[4]Model!$K$61</definedName>
    <definedName name="_agr8993">[4]Model!$L$61</definedName>
    <definedName name="_agr9091">[4]Model!$J$62</definedName>
    <definedName name="_agr9092">[4]Model!$K$62</definedName>
    <definedName name="_agr9093">[4]Model!$L$62</definedName>
    <definedName name="_agr9094">[4]Model!$M$62</definedName>
    <definedName name="_agr9192">[4]Model!$K$63</definedName>
    <definedName name="_agr9193">[4]Model!$L$63</definedName>
    <definedName name="_agr9194">[4]Model!$M$63</definedName>
    <definedName name="_agr9195">[4]Model!$N$63</definedName>
    <definedName name="_agr9293">[4]Model!$L$64</definedName>
    <definedName name="_agr9294">[4]Model!$M$64</definedName>
    <definedName name="_agr9295">[4]Model!$N$64</definedName>
    <definedName name="_agr9296">[4]Model!$O$64</definedName>
    <definedName name="_agr9394">[4]Model!$M$65</definedName>
    <definedName name="_agr9395">[4]Model!$N$65</definedName>
    <definedName name="_agr9396">[4]Model!$O$65</definedName>
    <definedName name="_agr9397">[4]Model!$P$65</definedName>
    <definedName name="_agr9495">[4]Model!$N$66</definedName>
    <definedName name="_agr9496">[4]Model!$O$66</definedName>
    <definedName name="_agr9497">[4]Model!$P$66</definedName>
    <definedName name="_agr9498">[4]Model!$Q$66</definedName>
    <definedName name="_agr9596">[4]Model!$O$67</definedName>
    <definedName name="_agr9597">[4]Model!$P$67</definedName>
    <definedName name="_agr9598">[4]Model!$Q$67</definedName>
    <definedName name="_agr9697">[4]Model!$P$68</definedName>
    <definedName name="_agr9698">[4]Model!$Q$68</definedName>
    <definedName name="_agr9798">[4]Model!$Q$69</definedName>
    <definedName name="_ALT_PPONU_D__Q">#REF!</definedName>
    <definedName name="_DAT1">#REF!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Fill" hidden="1">#REF!</definedName>
    <definedName name="_Fill09" hidden="1">#REF!</definedName>
    <definedName name="_Fill2009" hidden="1">#REF!</definedName>
    <definedName name="_Key1" hidden="1">#REF!</definedName>
    <definedName name="_Key2" hidden="1">#REF!</definedName>
    <definedName name="_key7">[5]Sheet2!$AE$1:$AE$24</definedName>
    <definedName name="_mm1">#REF!</definedName>
    <definedName name="_mm10">#REF!</definedName>
    <definedName name="_mm11">#REF!</definedName>
    <definedName name="_mm12">#REF!</definedName>
    <definedName name="_mm13">#REF!</definedName>
    <definedName name="_mm14">#REF!</definedName>
    <definedName name="_mm15">#REF!</definedName>
    <definedName name="_mm16">#REF!</definedName>
    <definedName name="_mm17">#REF!</definedName>
    <definedName name="_mm18">#REF!</definedName>
    <definedName name="_mm19">#REF!</definedName>
    <definedName name="_mm2">#REF!</definedName>
    <definedName name="_mm3">#REF!</definedName>
    <definedName name="_mm4">#REF!</definedName>
    <definedName name="_mm5">#REF!</definedName>
    <definedName name="_mm7">#REF!</definedName>
    <definedName name="_mm8">#REF!</definedName>
    <definedName name="_mm9">#REF!</definedName>
    <definedName name="_New2">#REF!</definedName>
    <definedName name="_New3">#REF!</definedName>
    <definedName name="_New4">#REF!</definedName>
    <definedName name="_Order1" hidden="1">0</definedName>
    <definedName name="_Order2" hidden="1">255</definedName>
    <definedName name="_pgm5">[5]Sheet2!$AF$1:$AF$3</definedName>
    <definedName name="_qre2">'[6]IDR 15'!$A$1:$H$214</definedName>
    <definedName name="_qre84">'[4]QRE''s'!$D$1:$D$65536</definedName>
    <definedName name="_qre8490">[4]Model!$I$126</definedName>
    <definedName name="_qre8491">[4]Model!$J$126</definedName>
    <definedName name="_qre8492">[4]Model!$K$126</definedName>
    <definedName name="_qre8493">[4]Model!$L$126</definedName>
    <definedName name="_qre8494">[4]Model!$M$126</definedName>
    <definedName name="_qre8495">[4]Model!$N$126</definedName>
    <definedName name="_qre8496">[4]Model!$O$126</definedName>
    <definedName name="_qre8497">[4]Model!$P$126</definedName>
    <definedName name="_qre8498">[4]Model!$Q$126</definedName>
    <definedName name="_qre85">'[4]QRE''s'!$E$1:$E$65536</definedName>
    <definedName name="_qre8590">[4]Model!$I$127</definedName>
    <definedName name="_qre8591">[4]Model!$J$127</definedName>
    <definedName name="_qre8592">[4]Model!$K$127</definedName>
    <definedName name="_qre8593">[4]Model!$L$127</definedName>
    <definedName name="_qre8594">[4]Model!$M$127</definedName>
    <definedName name="_qre8595">[4]Model!$N$127</definedName>
    <definedName name="_qre8596">[4]Model!$O$127</definedName>
    <definedName name="_qre8597">[4]Model!$P$127</definedName>
    <definedName name="_qre8598">[4]Model!$Q$127</definedName>
    <definedName name="_qre86">'[4]QRE''s'!$F$1:$F$65536</definedName>
    <definedName name="_qre8690">[4]Model!$I$128</definedName>
    <definedName name="_qre8691">[4]Model!$J$128</definedName>
    <definedName name="_qre8692">[4]Model!$K$128</definedName>
    <definedName name="_qre8693">[4]Model!$L$128</definedName>
    <definedName name="_qre8694">[4]Model!$M$128</definedName>
    <definedName name="_qre8695">[4]Model!$N$128</definedName>
    <definedName name="_qre8696">[4]Model!$O$128</definedName>
    <definedName name="_qre8697">[4]Model!$P$128</definedName>
    <definedName name="_qre8698">[4]Model!$Q$128</definedName>
    <definedName name="_qre87">'[4]QRE''s'!$G$1:$G$65536</definedName>
    <definedName name="_qre8790">[4]Model!$I$129</definedName>
    <definedName name="_qre8791">[4]Model!$J$129</definedName>
    <definedName name="_qre8792">[4]Model!$K$129</definedName>
    <definedName name="_qre8793">[4]Model!$L$129</definedName>
    <definedName name="_qre8794">[4]Model!$M$129</definedName>
    <definedName name="_qre8795">[4]Model!$N$129</definedName>
    <definedName name="_qre8796">[4]Model!$O$129</definedName>
    <definedName name="_qre8797">[4]Model!$P$129</definedName>
    <definedName name="_qre8798">[4]Model!$Q$129</definedName>
    <definedName name="_qre88">'[4]QRE''s'!$H$1:$H$65536</definedName>
    <definedName name="_qre8890">[4]Model!$I$130</definedName>
    <definedName name="_qre8891">[4]Model!$J$130</definedName>
    <definedName name="_qre8892">[4]Model!$K$130</definedName>
    <definedName name="_qre8893">[4]Model!$L$130</definedName>
    <definedName name="_qre8894">[4]Model!$M$130</definedName>
    <definedName name="_qre8895">[4]Model!$N$130</definedName>
    <definedName name="_qre8896">[4]Model!$O$130</definedName>
    <definedName name="_qre8897">[4]Model!$P$130</definedName>
    <definedName name="_qre8898">[4]Model!$Q$130</definedName>
    <definedName name="_qre89">'[4]QRE''s'!$I$1:$I$65536</definedName>
    <definedName name="_qre90">'[4]QRE''s'!$J$1:$J$65536</definedName>
    <definedName name="_qre91">'[4]QRE''s'!$K$1:$K$65536</definedName>
    <definedName name="_qre92">'[4]QRE''s'!$L$1:$L$65536</definedName>
    <definedName name="_qre93">'[4]QRE''s'!$M$1:$M$65536</definedName>
    <definedName name="_qre94">'[4]QRE''s'!$N$1:$N$65536</definedName>
    <definedName name="_qre95">'[4]QRE''s'!$O$1:$O$65536</definedName>
    <definedName name="_qre96">'[4]QRE''s'!$P$1:$P$65536</definedName>
    <definedName name="_qre97">'[4]QRE''s'!$Q$1:$Q$65536</definedName>
    <definedName name="_qre98">'[4]QRE''s'!$R$1:$R$65536</definedName>
    <definedName name="_reg4">[5]Sheet2!$AF$1:$AF$3</definedName>
    <definedName name="_ryr56565" hidden="1">{#N/A,#N/A,FALSE,"Monthly SAIFI";#N/A,#N/A,FALSE,"Yearly SAIFI";#N/A,#N/A,FALSE,"Monthly CAIDI";#N/A,#N/A,FALSE,"Yearly CAIDI";#N/A,#N/A,FALSE,"Monthly SAIDI";#N/A,#N/A,FALSE,"Yearly SAIDI";#N/A,#N/A,FALSE,"Monthly MAIFI";#N/A,#N/A,FALSE,"Yearly MAIFI";#N/A,#N/A,FALSE,"Monthly Cust &gt;=4 Int"}</definedName>
    <definedName name="_Sort" hidden="1">#REF!</definedName>
    <definedName name="_tqc90">'[4]QRE''s'!$J$101</definedName>
    <definedName name="_tqc91">'[4]QRE''s'!$K$101</definedName>
    <definedName name="_tqc92">'[4]QRE''s'!$L$101</definedName>
    <definedName name="_tqc93">'[4]QRE''s'!$M$101</definedName>
    <definedName name="_tqc94">'[4]QRE''s'!$N$101</definedName>
    <definedName name="_tqc95">'[4]QRE''s'!$O$101</definedName>
    <definedName name="_tqc96">'[4]QRE''s'!$P$101</definedName>
    <definedName name="_tqc97">'[4]QRE''s'!$Q$101</definedName>
    <definedName name="_tqc98">'[4]QRE''s'!$R$101</definedName>
    <definedName name="_tql90">'[4]QRE''s'!$J$99</definedName>
    <definedName name="_tql91">'[4]QRE''s'!$K$99</definedName>
    <definedName name="_tql92">'[4]QRE''s'!$L$99</definedName>
    <definedName name="_tql93">'[4]QRE''s'!$M$99</definedName>
    <definedName name="_tql94">'[4]QRE''s'!$N$99</definedName>
    <definedName name="_tql95">'[4]QRE''s'!$O$99</definedName>
    <definedName name="_tql96">'[4]QRE''s'!$P$99</definedName>
    <definedName name="_tql97">'[4]QRE''s'!$Q$99</definedName>
    <definedName name="_tql98">'[4]QRE''s'!$R$99</definedName>
    <definedName name="_tqs90">'[4]QRE''s'!$J$100</definedName>
    <definedName name="_tqs91">'[4]QRE''s'!$K$100</definedName>
    <definedName name="_tqs92">'[4]QRE''s'!$L$100</definedName>
    <definedName name="_tqs93">'[4]QRE''s'!$M$100</definedName>
    <definedName name="_tqs94">'[4]QRE''s'!$N$100</definedName>
    <definedName name="_tqs95">'[4]QRE''s'!$O$100</definedName>
    <definedName name="_tqs96">'[4]QRE''s'!$P$100</definedName>
    <definedName name="_tqs97">'[4]QRE''s'!$Q$100</definedName>
    <definedName name="_tqs98">'[4]QRE''s'!$R$100</definedName>
    <definedName name="_WORLDOX">#REF!</definedName>
    <definedName name="a" hidden="1">{#N/A,#N/A,FALSE,"Monthly SAIFI";#N/A,#N/A,FALSE,"Yearly SAIFI";#N/A,#N/A,FALSE,"Monthly CAIDI";#N/A,#N/A,FALSE,"Yearly CAIDI";#N/A,#N/A,FALSE,"Monthly SAIDI";#N/A,#N/A,FALSE,"Yearly SAIDI";#N/A,#N/A,FALSE,"Monthly MAIFI";#N/A,#N/A,FALSE,"Yearly MAIFI";#N/A,#N/A,FALSE,"Monthly Cust &gt;=4 Int"}</definedName>
    <definedName name="aa" hidden="1">{#N/A,#N/A,FALSE,"Monthly SAIFI";#N/A,#N/A,FALSE,"Yearly SAIFI";#N/A,#N/A,FALSE,"Monthly CAIDI";#N/A,#N/A,FALSE,"Yearly CAIDI";#N/A,#N/A,FALSE,"Monthly SAIDI";#N/A,#N/A,FALSE,"Yearly SAIDI";#N/A,#N/A,FALSE,"Monthly MAIFI";#N/A,#N/A,FALSE,"Yearly MAIFI";#N/A,#N/A,FALSE,"Monthly Cust &gt;=4 Int"}</definedName>
    <definedName name="AAL">#REF!</definedName>
    <definedName name="AALDR">#REF!</definedName>
    <definedName name="AALSAP">#REF!</definedName>
    <definedName name="aashitii">'[8]2005 CapEx (By VP By Dept) Budg'!$A$3:$P$431</definedName>
    <definedName name="ac" hidden="1">{#N/A,#N/A,FALSE,"Monthly SAIFI";#N/A,#N/A,FALSE,"Yearly SAIFI";#N/A,#N/A,FALSE,"Monthly CAIDI";#N/A,#N/A,FALSE,"Yearly CAIDI";#N/A,#N/A,FALSE,"Monthly SAIDI";#N/A,#N/A,FALSE,"Yearly SAIDI";#N/A,#N/A,FALSE,"Monthly MAIFI";#N/A,#N/A,FALSE,"Yearly MAIFI";#N/A,#N/A,FALSE,"Monthly Cust &gt;=4 Int"}</definedName>
    <definedName name="ACCTG_SERV">#REF!</definedName>
    <definedName name="ACTUAL_YTD">[9]Administrator!$L$60</definedName>
    <definedName name="acx" hidden="1">{#N/A,#N/A,FALSE,"Monthly SAIFI";#N/A,#N/A,FALSE,"Yearly SAIFI";#N/A,#N/A,FALSE,"Monthly CAIDI";#N/A,#N/A,FALSE,"Yearly CAIDI";#N/A,#N/A,FALSE,"Monthly SAIDI";#N/A,#N/A,FALSE,"Yearly SAIDI";#N/A,#N/A,FALSE,"Monthly MAIFI";#N/A,#N/A,FALSE,"Yearly MAIFI";#N/A,#N/A,FALSE,"Monthly Cust &gt;=4 Int"}</definedName>
    <definedName name="adfsadfds" hidden="1">{#N/A,#N/A,FALSE,"Monthly SAIFI";#N/A,#N/A,FALSE,"Yearly SAIFI";#N/A,#N/A,FALSE,"Monthly CAIDI";#N/A,#N/A,FALSE,"Yearly CAIDI";#N/A,#N/A,FALSE,"Monthly SAIDI";#N/A,#N/A,FALSE,"Yearly SAIDI";#N/A,#N/A,FALSE,"Monthly MAIFI";#N/A,#N/A,FALSE,"Yearly MAIFI";#N/A,#N/A,FALSE,"Monthly Cust &gt;=4 Int"}</definedName>
    <definedName name="AIP" hidden="1">{#N/A,#N/A,FALSE,"Monthly SAIFI";#N/A,#N/A,FALSE,"Yearly SAIFI";#N/A,#N/A,FALSE,"Monthly CAIDI";#N/A,#N/A,FALSE,"Yearly CAIDI";#N/A,#N/A,FALSE,"Monthly SAIDI";#N/A,#N/A,FALSE,"Yearly SAIDI";#N/A,#N/A,FALSE,"Monthly MAIFI";#N/A,#N/A,FALSE,"Yearly MAIFI";#N/A,#N/A,FALSE,"Monthly Cust &gt;=4 Int"}</definedName>
    <definedName name="aircgrtm1">[4]AIRC!#REF!</definedName>
    <definedName name="aircgrtm2">[4]AIRC!#REF!</definedName>
    <definedName name="aircgrtm3">[4]AIRC!#REF!</definedName>
    <definedName name="aircgrtm4">[4]AIRC!#REF!</definedName>
    <definedName name="aircqre">[4]AIRC!$C$15</definedName>
    <definedName name="aircqrelabel">[4]AIRC!$B$15</definedName>
    <definedName name="airctitle">[4]AIRC!$A$1</definedName>
    <definedName name="airctm1">[4]AIRC!#REF!</definedName>
    <definedName name="airctm2">[4]AIRC!#REF!</definedName>
    <definedName name="airctm3">[4]AIRC!#REF!</definedName>
    <definedName name="airctm4">[4]AIRC!#REF!</definedName>
    <definedName name="ALERT1">#REF!</definedName>
    <definedName name="ALERT2">#REF!</definedName>
    <definedName name="ALERT3">#REF!</definedName>
    <definedName name="ALL_QRES">[4]Sens_QRE_Factor!$D$8:$R$98</definedName>
    <definedName name="ALL_QRES0.75">'[4]QRE Charts'!$E$365</definedName>
    <definedName name="ALL_QRES0.80">'[4]QRE Charts'!$F$365</definedName>
    <definedName name="ALL_QRES0.85">'[4]QRE Charts'!$G$365</definedName>
    <definedName name="ALL_QRES0.90">'[4]QRE Charts'!$H$365</definedName>
    <definedName name="ALL_QRES0.95">'[4]QRE Charts'!$I$365</definedName>
    <definedName name="ALL_QRES1.00">'[4]QRE Charts'!$J$365</definedName>
    <definedName name="ALL_QRES1.05">'[4]QRE Charts'!$K$365</definedName>
    <definedName name="ALL_QRES1.10">'[4]QRE Charts'!$L$365</definedName>
    <definedName name="ALL_QRES1.15">'[4]QRE Charts'!$M$365</definedName>
    <definedName name="ALL_QRES1.20">'[4]QRE Charts'!$N$365</definedName>
    <definedName name="ALL_QRES1.25">'[4]QRE Charts'!$O$365</definedName>
    <definedName name="ALL_SENS_FACT">#REF!</definedName>
    <definedName name="ALLYRS_MESSAGE">#REF!</definedName>
    <definedName name="alsdfa" hidden="1">{#N/A,#N/A,FALSE,"Monthly SAIFI";#N/A,#N/A,FALSE,"Yearly SAIFI";#N/A,#N/A,FALSE,"Monthly CAIDI";#N/A,#N/A,FALSE,"Yearly CAIDI";#N/A,#N/A,FALSE,"Monthly SAIDI";#N/A,#N/A,FALSE,"Yearly SAIDI";#N/A,#N/A,FALSE,"Monthly MAIFI";#N/A,#N/A,FALSE,"Yearly MAIFI";#N/A,#N/A,FALSE,"Monthly Cust &gt;=4 Int"}</definedName>
    <definedName name="anish">#REF!</definedName>
    <definedName name="anish21212">#REF!</definedName>
    <definedName name="anisha2157">'[8]2005 CapEx (By VP By Dept) Budg'!$A$3:$P$431</definedName>
    <definedName name="anisha216">'[8]2005 CapEx (By VP By Dept) Budg'!$A$3:$P$431</definedName>
    <definedName name="anishhh">'[8]2005 CapEx (By VP By Dept) Budg'!$A$3:$P$431</definedName>
    <definedName name="anishilov">'[8]2005 CapEx (By VP By Dept) Budg'!$A$3:$P$431</definedName>
    <definedName name="anscount" hidden="1">1</definedName>
    <definedName name="APA">'[10]PECO Bal Sht'!#REF!</definedName>
    <definedName name="Apr">#REF!</definedName>
    <definedName name="apr2pre">#REF!</definedName>
    <definedName name="April">#REF!</definedName>
    <definedName name="APV">#REF!</definedName>
    <definedName name="Area">'[11]all EED O&amp;M BO data'!$W$2:$W$5000</definedName>
    <definedName name="as">'[8]2005 CapEx (By VP By Dept) Budg'!$A$3:$P$395</definedName>
    <definedName name="AS2DocOpenMode" hidden="1">"AS2DocumentEdit"</definedName>
    <definedName name="asasasas">'[8]2005 CapEx (By VP By Dept) Budg'!$A$3:$P$431</definedName>
    <definedName name="ASD">'[10]PECO Bal Sht'!#REF!</definedName>
    <definedName name="asdada">#REF!</definedName>
    <definedName name="asdasd">'[8]2005 CapEx (By VP By Dept) Budg'!$A$3:$P$431</definedName>
    <definedName name="asdasda">#REF!</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dfasfasf">#REF!</definedName>
    <definedName name="asdfsd">#REF!</definedName>
    <definedName name="asdfsdf">'[8]2005 CapEx (By VP By Dept) Budg'!$A$3:$P$431</definedName>
    <definedName name="asdfsdfsadfs">'[8]2005 CapEx (By VP By Dept) Budg'!$A$3:$P$431</definedName>
    <definedName name="asfas">#REF!</definedName>
    <definedName name="asfasdfasfasfsadf">#REF!</definedName>
    <definedName name="asfsdfsdfsdfsfwer">#REF!</definedName>
    <definedName name="asfsdfsfs">#REF!</definedName>
    <definedName name="asfsft">#REF!</definedName>
    <definedName name="asgdfsjgfdk1">'[8]2005 CapEx (By VP By Dept) Budg'!$A$3:$P$431</definedName>
    <definedName name="ashaita" hidden="1">{#N/A,#N/A,FALSE,"Monthly SAIFI";#N/A,#N/A,FALSE,"Yearly SAIFI";#N/A,#N/A,FALSE,"Monthly CAIDI";#N/A,#N/A,FALSE,"Yearly CAIDI";#N/A,#N/A,FALSE,"Monthly SAIDI";#N/A,#N/A,FALSE,"Yearly SAIDI";#N/A,#N/A,FALSE,"Monthly MAIFI";#N/A,#N/A,FALSE,"Yearly MAIFI";#N/A,#N/A,FALSE,"Monthly Cust &gt;=4 Int"}</definedName>
    <definedName name="ashhhjjjjjj">'[8]2005 CapEx (By VP By Dept) Budg'!$A$3:$P$431</definedName>
    <definedName name="ashi21">'[8]2005 CapEx (By VP By Dept) Budg'!$A$3:$P$431</definedName>
    <definedName name="ashia">#REF!</definedName>
    <definedName name="ashita">#REF!</definedName>
    <definedName name="ashita216">'[8]2005 CapEx (By VP By Dept) Budg'!$A$3:$P$431</definedName>
    <definedName name="AsOfDt">'[12]#REF'!$B$2</definedName>
    <definedName name="asrada">#REF!</definedName>
    <definedName name="assd" hidden="1">{#N/A,#N/A,FALSE,"Monthly SAIFI";#N/A,#N/A,FALSE,"Yearly SAIFI";#N/A,#N/A,FALSE,"Monthly CAIDI";#N/A,#N/A,FALSE,"Yearly CAIDI";#N/A,#N/A,FALSE,"Monthly SAIDI";#N/A,#N/A,FALSE,"Yearly SAIDI";#N/A,#N/A,FALSE,"Monthly MAIFI";#N/A,#N/A,FALSE,"Yearly MAIFI";#N/A,#N/A,FALSE,"Monthly Cust &gt;=4 Int"}</definedName>
    <definedName name="Asset_Management">#REF!</definedName>
    <definedName name="Asset_Management_">#REF!</definedName>
    <definedName name="Aug">#REF!</definedName>
    <definedName name="AugNEW">#REF!</definedName>
    <definedName name="August">#REF!</definedName>
    <definedName name="b" hidden="1">{#N/A,#N/A,FALSE,"Monthly SAIFI";#N/A,#N/A,FALSE,"Yearly SAIFI";#N/A,#N/A,FALSE,"Monthly CAIDI";#N/A,#N/A,FALSE,"Yearly CAIDI";#N/A,#N/A,FALSE,"Monthly SAIDI";#N/A,#N/A,FALSE,"Yearly SAIDI";#N/A,#N/A,FALSE,"Monthly MAIFI";#N/A,#N/A,FALSE,"Yearly MAIFI";#N/A,#N/A,FALSE,"Monthly Cust &gt;=4 Int"}</definedName>
    <definedName name="b_u_10">'[4]QRE''s'!$A$39:$IV$94</definedName>
    <definedName name="b_u_11">'[4]QRE''s'!$A$43:$IV$94</definedName>
    <definedName name="b_u_12">'[4]QRE''s'!$A$47:$IV$94</definedName>
    <definedName name="b_u_13">'[4]QRE''s'!$A$51:$IV$94</definedName>
    <definedName name="b_u_14">'[4]QRE''s'!$A$55:$IV$94</definedName>
    <definedName name="b_u_15">'[4]QRE''s'!$A$59:$IV$94</definedName>
    <definedName name="b_u_16">'[4]QRE''s'!$A$63:$IV$94</definedName>
    <definedName name="b_u_17">'[4]QRE''s'!$A$67:$IV$94</definedName>
    <definedName name="b_u_18">'[4]QRE''s'!$A$71:$IV$94</definedName>
    <definedName name="b_u_19">'[4]QRE''s'!$A$75:$IV$94</definedName>
    <definedName name="b_u_2">'[4]QRE''s'!$A$11:$IV$94</definedName>
    <definedName name="b_u_20">'[4]QRE''s'!$A$79:$IV$94</definedName>
    <definedName name="b_u_21">'[4]QRE''s'!$A$83:$IV$94</definedName>
    <definedName name="b_u_22">'[4]QRE''s'!$A$87:$IV$94</definedName>
    <definedName name="b_u_23">'[4]QRE''s'!$A$91:$IV$94</definedName>
    <definedName name="b_u_3">'[4]QRE''s'!$A$11:$IV$94</definedName>
    <definedName name="b_u_4">'[4]QRE''s'!$A$15:$IV$94</definedName>
    <definedName name="b_u_5">'[4]QRE''s'!$A$19:$IV$94</definedName>
    <definedName name="b_u_6">'[4]QRE''s'!$A$23:$IV$94</definedName>
    <definedName name="b_u_7">'[4]QRE''s'!$A$27:$IV$94</definedName>
    <definedName name="b_u_8">'[4]QRE''s'!$A$31:$IV$94</definedName>
    <definedName name="b_u_9">'[4]QRE''s'!$A$35:$IV$94</definedName>
    <definedName name="Balance_Sheet">#REF!</definedName>
    <definedName name="Balance_Sheet_Date">[13]Update!$B$3</definedName>
    <definedName name="Balance_Sheet_Heading">[13]Update!$B$4</definedName>
    <definedName name="bankidrange">[14]Control!$AI$5:$AI$1012</definedName>
    <definedName name="Base">#REF!</definedName>
    <definedName name="BASE_DETAIL_QRE">[4]Sens_QRE_Factor!$D$8:$H$98</definedName>
    <definedName name="BASE_MESSAGE">#REF!</definedName>
    <definedName name="BASE_QRES">[4]Sens_QRE_Factor!$D$8:$H$98</definedName>
    <definedName name="BASE_QRES0.75">'[4]QRE Charts'!$E$366</definedName>
    <definedName name="BASE_QRES0.80">'[4]QRE Charts'!$F$366</definedName>
    <definedName name="BASE_QRES0.85">'[4]QRE Charts'!$G$366</definedName>
    <definedName name="BASE_QRES0.90">'[4]QRE Charts'!$H$366</definedName>
    <definedName name="BASE_QRES0.95">'[4]QRE Charts'!$I$366</definedName>
    <definedName name="BASE_QRES1.00">'[4]QRE Charts'!$J$366</definedName>
    <definedName name="BASE_QRES1.05">'[4]QRE Charts'!$K$366</definedName>
    <definedName name="BASE_QRES1.10">'[4]QRE Charts'!$L$366</definedName>
    <definedName name="BASE_QRES1.15">'[4]QRE Charts'!$M$366</definedName>
    <definedName name="BASE_QRES1.20">'[4]QRE Charts'!$N$366</definedName>
    <definedName name="BASE_QRES1.25">'[4]QRE Charts'!$O$366</definedName>
    <definedName name="BASE_SENS_FACT">#REF!</definedName>
    <definedName name="Baseline">'[15]Valid Table Values'!#REF!</definedName>
    <definedName name="bcbcvb">'[8]2005 CapEx (By VP By Dept) Budg'!$A$3:$P$431</definedName>
    <definedName name="beny" hidden="1">{#N/A,#N/A,FALSE,"Monthly SAIFI";#N/A,#N/A,FALSE,"Yearly SAIFI";#N/A,#N/A,FALSE,"Monthly CAIDI";#N/A,#N/A,FALSE,"Yearly CAIDI";#N/A,#N/A,FALSE,"Monthly SAIDI";#N/A,#N/A,FALSE,"Yearly SAIDI";#N/A,#N/A,FALSE,"Monthly MAIFI";#N/A,#N/A,FALSE,"Yearly MAIFI";#N/A,#N/A,FALSE,"Monthly Cust &gt;=4 Int"}</definedName>
    <definedName name="BGS_Auction_Cost">[16]Assumptions!#REF!</definedName>
    <definedName name="BGS_Forecast">[17]Assumptions!#REF!</definedName>
    <definedName name="BGS_Rate">#REF!</definedName>
    <definedName name="Bi10LTIP_Table">'[18]98LTIP6b-10b'!$A$7:$D$17</definedName>
    <definedName name="BILLED_KWHs">#REF!</definedName>
    <definedName name="BILLED_KWHsNEW">#REF!</definedName>
    <definedName name="Black_Box">[19]Assumptions!$E$41</definedName>
    <definedName name="BLE_Close_Date">[16]Assumptions!$E$16</definedName>
    <definedName name="BLE_Resid">[20]Assumptions!$E$20</definedName>
    <definedName name="BLE_Strand">'[16]TBC Rate Summary'!$B$32:$H$214</definedName>
    <definedName name="BLEwd">[16]Assumptions!$E$19</definedName>
    <definedName name="bpgr84">[4]Print!$C$48</definedName>
    <definedName name="bpgr85">[4]Print!$E$48</definedName>
    <definedName name="bpgr86">[4]Print!$G$48</definedName>
    <definedName name="bpgr87">[4]Print!$I$48</definedName>
    <definedName name="bpgr88">[4]Print!$K$48</definedName>
    <definedName name="bpqre84">[4]Print!$C$41</definedName>
    <definedName name="bpqre85">[4]Print!$E$41</definedName>
    <definedName name="bpqre86">[4]Print!$G$41</definedName>
    <definedName name="bpqre87">[4]Print!$I$41</definedName>
    <definedName name="bpqre88">[4]Print!$K$41</definedName>
    <definedName name="BPU_Assessment">[16]Assumptions!$E$37</definedName>
    <definedName name="Brett041">'[8]2005 CapEx (By VP By Dept) Budg'!$A$3:$P$431</definedName>
    <definedName name="Brett0415">'[8]2005 CapEx (By VP By Dept) Budg'!$A$3:$P$431</definedName>
    <definedName name="Brett0416">#REF!</definedName>
    <definedName name="Brett042">#REF!</definedName>
    <definedName name="brett0420">'[8]2005 CapEx (By VP By Dept) Budg'!$A$3:$P$431</definedName>
    <definedName name="brett0421">#REF!</definedName>
    <definedName name="Brett0422">'[8]2005 CapEx (By VP By Dept) Budg'!$A$3:$P$431</definedName>
    <definedName name="Brett0423">#REF!</definedName>
    <definedName name="Brett0601">'[8]2005 CapEx (By VP By Dept) Budg'!$A$3:$P$431</definedName>
    <definedName name="Brett0602">#REF!</definedName>
    <definedName name="Brett403">'[8]2005 CapEx (By VP By Dept) Budg'!$A$3:$P$431</definedName>
    <definedName name="Brett404">#REF!</definedName>
    <definedName name="Brett406">'[8]2005 CapEx (By VP By Dept) Budg'!$A$3:$P$431</definedName>
    <definedName name="Brett407">#REF!</definedName>
    <definedName name="Brett408">'[8]2005 CapEx (By VP By Dept) Budg'!$A$3:$P$431</definedName>
    <definedName name="Brett409">#REF!</definedName>
    <definedName name="Brett410">'[8]2005 CapEx (By VP By Dept) Budg'!$A$3:$P$431</definedName>
    <definedName name="Brett411">#REF!</definedName>
    <definedName name="Brett418">'[8]2005 CapEx (By VP By Dept) Budg'!$A$3:$P$431</definedName>
    <definedName name="Brett419">#REF!</definedName>
    <definedName name="BSYEAREND">[21]SETUP!$C$21</definedName>
    <definedName name="bu10total84">[4]B_U_10!$C$95</definedName>
    <definedName name="bu10total84a">[4]B_U_10!$C$103</definedName>
    <definedName name="bu10total85">[4]B_U_10!$D$95</definedName>
    <definedName name="bu10total85a">[4]B_U_10!$D$103</definedName>
    <definedName name="bu10total86">[4]B_U_10!$E$95</definedName>
    <definedName name="bu10total86a">[4]B_U_10!$E$103</definedName>
    <definedName name="bu10total87">[4]B_U_10!$F$95</definedName>
    <definedName name="bu10total87a">[4]B_U_10!$F$103</definedName>
    <definedName name="bu10total88">[4]B_U_10!$G$95</definedName>
    <definedName name="bu10total88a">[4]B_U_10!$G$103</definedName>
    <definedName name="bu10total89">[4]B_U_10!$H$95</definedName>
    <definedName name="bu10total89a">[4]B_U_10!$H$103</definedName>
    <definedName name="bu10total90">[4]B_U_10!$I$95</definedName>
    <definedName name="bu10total90a">[4]B_U_10!$I$103</definedName>
    <definedName name="bu10total91">[4]B_U_10!$J$95</definedName>
    <definedName name="bu10total91a">[4]B_U_10!$J$103</definedName>
    <definedName name="bu10total92">[4]B_U_10!$K$95</definedName>
    <definedName name="bu10total92a">[4]B_U_10!$K$103</definedName>
    <definedName name="bu10total93">[4]B_U_10!$L$95</definedName>
    <definedName name="bu10total93a">[4]B_U_10!$L$103</definedName>
    <definedName name="bu10total94">[4]B_U_10!$M$95</definedName>
    <definedName name="bu10total94a">[4]B_U_10!$M$103</definedName>
    <definedName name="bu10total95">[4]B_U_10!$N$95</definedName>
    <definedName name="bu10total95a">[4]B_U_10!$N$103</definedName>
    <definedName name="bu10total96">[4]B_U_10!$O$95</definedName>
    <definedName name="bu10total96a">[4]B_U_10!$O$103</definedName>
    <definedName name="bu10total97">[4]B_U_10!$P$95</definedName>
    <definedName name="bu10total97a">[4]B_U_10!$P$103</definedName>
    <definedName name="bu10total98">[4]B_U_10!$Q$95</definedName>
    <definedName name="bu10total98a">[4]B_U_10!$Q$103</definedName>
    <definedName name="bu11total84">[4]B_U_11!$C$95</definedName>
    <definedName name="bu11total84a">[4]B_U_11!$C$103</definedName>
    <definedName name="bu11total85">[4]B_U_11!$D$95</definedName>
    <definedName name="bu11total85a">[4]B_U_11!$D$103</definedName>
    <definedName name="bu11total86">[4]B_U_11!$E$95</definedName>
    <definedName name="bu11total86a">[4]B_U_11!$E$103</definedName>
    <definedName name="bu11total87">[4]B_U_11!$F$95</definedName>
    <definedName name="bu11total87a">[4]B_U_11!$F$103</definedName>
    <definedName name="bu11total88">[4]B_U_11!$G$95</definedName>
    <definedName name="bu11total88a">[4]B_U_11!$G$103</definedName>
    <definedName name="bu11total89">[4]B_U_11!$H$95</definedName>
    <definedName name="bu11total89a">[4]B_U_11!$H$103</definedName>
    <definedName name="bu11total90">[4]B_U_11!$I$95</definedName>
    <definedName name="bu11total90a">[4]B_U_11!$I$103</definedName>
    <definedName name="bu11total91">[4]B_U_11!$J$95</definedName>
    <definedName name="bu11total91a">[4]B_U_11!$J$103</definedName>
    <definedName name="bu11total92">[4]B_U_11!$K$95</definedName>
    <definedName name="bu11total92a">[4]B_U_11!$K$103</definedName>
    <definedName name="bu11total93">[4]B_U_11!$L$95</definedName>
    <definedName name="bu11total93a">[4]B_U_11!$L$103</definedName>
    <definedName name="bu11total94">[4]B_U_11!$M$95</definedName>
    <definedName name="bu11total94a">[4]B_U_11!$M$103</definedName>
    <definedName name="bu11total95">[4]B_U_11!$N$95</definedName>
    <definedName name="bu11total95a">[4]B_U_11!$N$103</definedName>
    <definedName name="bu11total96">[4]B_U_11!$O$95</definedName>
    <definedName name="bu11total96a">[4]B_U_11!$O$103</definedName>
    <definedName name="bu11total97">[4]B_U_11!$P$95</definedName>
    <definedName name="bu11total97a">[4]B_U_11!$P$103</definedName>
    <definedName name="bu11total98">[4]B_U_11!$Q$95</definedName>
    <definedName name="bu11total98a">[4]B_U_11!$Q$103</definedName>
    <definedName name="bu12total84">[4]B_U_12!$C$95</definedName>
    <definedName name="bu12total84a">[4]B_U_12!$C$103</definedName>
    <definedName name="bu12total85">[4]B_U_12!$D$95</definedName>
    <definedName name="bu12total85a">[4]B_U_12!$D$103</definedName>
    <definedName name="bu12total86">[4]B_U_12!$E$95</definedName>
    <definedName name="bu12total86a">[4]B_U_12!$E$103</definedName>
    <definedName name="bu12total87">[4]B_U_12!$F$95</definedName>
    <definedName name="bu12total87a">[4]B_U_12!$F$103</definedName>
    <definedName name="bu12total88">[4]B_U_12!$G$95</definedName>
    <definedName name="bu12total88a">[4]B_U_12!$G$103</definedName>
    <definedName name="bu12total89">[4]B_U_12!$H$95</definedName>
    <definedName name="bu12total89a">[4]B_U_12!$H$103</definedName>
    <definedName name="bu12total90">[4]B_U_12!$I$95</definedName>
    <definedName name="bu12total90a">[4]B_U_12!$I$103</definedName>
    <definedName name="bu12total91">[4]B_U_12!$J$95</definedName>
    <definedName name="bu12total91a">[4]B_U_12!$J$103</definedName>
    <definedName name="bu12total92">[4]B_U_12!$K$95</definedName>
    <definedName name="bu12total92a">[4]B_U_12!$K$103</definedName>
    <definedName name="bu12total93">[4]B_U_12!$L$95</definedName>
    <definedName name="bu12total93a">[4]B_U_12!$L$103</definedName>
    <definedName name="bu12total94">[4]B_U_12!$M$95</definedName>
    <definedName name="bu12total94a">[4]B_U_12!$M$103</definedName>
    <definedName name="bu12total95">[4]B_U_12!$N$95</definedName>
    <definedName name="bu12total95a">[4]B_U_12!$N$103</definedName>
    <definedName name="bu12total96">[4]B_U_12!$O$95</definedName>
    <definedName name="bu12total96a">[4]B_U_12!$O$103</definedName>
    <definedName name="bu12total97">[4]B_U_12!$P$95</definedName>
    <definedName name="bu12total97a">[4]B_U_12!$P$103</definedName>
    <definedName name="bu12total98">[4]B_U_12!$Q$95</definedName>
    <definedName name="bu12total98a">[4]B_U_12!$Q$103</definedName>
    <definedName name="bu13total84">[4]B_U_13!$C$95</definedName>
    <definedName name="bu13total84a">[4]B_U_13!$C$103</definedName>
    <definedName name="bu13total85">[4]B_U_13!$D$95</definedName>
    <definedName name="bu13total85a">[4]B_U_13!$D$103</definedName>
    <definedName name="bu13total86">[4]B_U_13!$E$95</definedName>
    <definedName name="bu13total86a">[4]B_U_13!$E$103</definedName>
    <definedName name="bu13total87">[4]B_U_13!$F$95</definedName>
    <definedName name="bu13total87a">[4]B_U_13!$F$103</definedName>
    <definedName name="bu13total88">[4]B_U_13!$G$95</definedName>
    <definedName name="bu13total88a">[4]B_U_13!$G$103</definedName>
    <definedName name="bu13total89">[4]B_U_13!$H$95</definedName>
    <definedName name="bu13total89a">[4]B_U_13!$H$103</definedName>
    <definedName name="bu13total90">[4]B_U_13!$I$95</definedName>
    <definedName name="bu13total90a">[4]B_U_13!$I$103</definedName>
    <definedName name="bu13total91">[4]B_U_13!$J$95</definedName>
    <definedName name="bu13total91a">[4]B_U_13!$J$103</definedName>
    <definedName name="bu13total92">[4]B_U_13!$K$95</definedName>
    <definedName name="bu13total92a">[4]B_U_13!$K$103</definedName>
    <definedName name="bu13total93">[4]B_U_13!$L$95</definedName>
    <definedName name="bu13total93a">[4]B_U_13!$L$103</definedName>
    <definedName name="bu13total94">[4]B_U_13!$M$95</definedName>
    <definedName name="bu13total94a">[4]B_U_13!$M$103</definedName>
    <definedName name="bu13total95">[4]B_U_13!$N$95</definedName>
    <definedName name="bu13total95a">[4]B_U_13!$N$103</definedName>
    <definedName name="bu13total96">[4]B_U_13!$O$95</definedName>
    <definedName name="bu13total96a">[4]B_U_13!$O$103</definedName>
    <definedName name="bu13total97">[4]B_U_13!$P$95</definedName>
    <definedName name="bu13total97a">[4]B_U_13!$P$103</definedName>
    <definedName name="bu13total98">[4]B_U_13!$Q$95</definedName>
    <definedName name="bu13total98a">[4]B_U_13!$Q$103</definedName>
    <definedName name="bu14total84">[4]B_U_14!$C$95</definedName>
    <definedName name="bu14total84a">[4]B_U_14!$C$103</definedName>
    <definedName name="bu14total85">[4]B_U_14!$D$95</definedName>
    <definedName name="bu14total85a">[4]B_U_14!$D$103</definedName>
    <definedName name="bu14total86">[4]B_U_14!$E$95</definedName>
    <definedName name="bu14total86a">[4]B_U_14!$E$103</definedName>
    <definedName name="bu14total87">[4]B_U_14!$F$95</definedName>
    <definedName name="bu14total87a">[4]B_U_14!$F$103</definedName>
    <definedName name="bu14total88">[4]B_U_14!$G$95</definedName>
    <definedName name="bu14total88a">[4]B_U_14!$G$103</definedName>
    <definedName name="bu14total89">[4]B_U_14!$H$95</definedName>
    <definedName name="bu14total89a">[4]B_U_14!$H$103</definedName>
    <definedName name="bu14total90">[4]B_U_14!$I$95</definedName>
    <definedName name="bu14total90a">[4]B_U_14!$I$103</definedName>
    <definedName name="bu14total91">[4]B_U_14!$J$95</definedName>
    <definedName name="bu14total91a">[4]B_U_14!$J$103</definedName>
    <definedName name="bu14total92">[4]B_U_14!$K$95</definedName>
    <definedName name="bu14total92a">[4]B_U_14!$K$103</definedName>
    <definedName name="bu14total93">[4]B_U_14!$L$95</definedName>
    <definedName name="bu14total93a">[4]B_U_14!$L$103</definedName>
    <definedName name="bu14total94">[4]B_U_14!$M$95</definedName>
    <definedName name="bu14total94a">[4]B_U_14!$M$103</definedName>
    <definedName name="bu14total95">[4]B_U_14!$N$95</definedName>
    <definedName name="bu14total95a">[4]B_U_14!$N$103</definedName>
    <definedName name="bu14total96">[4]B_U_14!$O$95</definedName>
    <definedName name="bu14total96a">[4]B_U_14!$O$103</definedName>
    <definedName name="bu14total97">[4]B_U_14!$P$95</definedName>
    <definedName name="bu14total97a">[4]B_U_14!$P$103</definedName>
    <definedName name="bu14total98">[4]B_U_14!$Q$95</definedName>
    <definedName name="bu14total98a">[4]B_U_14!$Q$103</definedName>
    <definedName name="bu15total84">[4]B_U_15!$C$95</definedName>
    <definedName name="bu15total84a">[4]B_U_15!$C$103</definedName>
    <definedName name="bu15total85">[4]B_U_15!$D$95</definedName>
    <definedName name="bu15total85a">[4]B_U_15!$D$103</definedName>
    <definedName name="bu15total86">[4]B_U_15!$E$95</definedName>
    <definedName name="bu15total86a">[4]B_U_15!$E$103</definedName>
    <definedName name="bu15total87">[4]B_U_15!$F$95</definedName>
    <definedName name="bu15total87a">[4]B_U_15!$F$103</definedName>
    <definedName name="bu15total88">[4]B_U_15!$G$95</definedName>
    <definedName name="bu15total88a">[4]B_U_15!$G$103</definedName>
    <definedName name="bu15total89">[4]B_U_15!$H$95</definedName>
    <definedName name="bu15total89a">[4]B_U_15!$H$103</definedName>
    <definedName name="bu15total90">[4]B_U_15!$I$95</definedName>
    <definedName name="bu15total90a">[4]B_U_15!$I$103</definedName>
    <definedName name="bu15total91">[4]B_U_15!$J$95</definedName>
    <definedName name="bu15total91a">[4]B_U_15!$J$103</definedName>
    <definedName name="bu15total92">[4]B_U_15!$K$95</definedName>
    <definedName name="bu15total92a">[4]B_U_15!$K$103</definedName>
    <definedName name="bu15total93">[4]B_U_15!$L$95</definedName>
    <definedName name="bu15total93a">[4]B_U_15!$L$103</definedName>
    <definedName name="bu15total94">[4]B_U_15!$M$95</definedName>
    <definedName name="bu15total94a">[4]B_U_15!$M$103</definedName>
    <definedName name="bu15total95">[4]B_U_15!$N$95</definedName>
    <definedName name="bu15total95a">[4]B_U_15!$N$103</definedName>
    <definedName name="bu15total96">[4]B_U_15!$O$95</definedName>
    <definedName name="bu15total96a">[4]B_U_15!$O$103</definedName>
    <definedName name="bu15total97">[4]B_U_15!$P$95</definedName>
    <definedName name="bu15total97a">[4]B_U_15!$P$103</definedName>
    <definedName name="bu15total98">[4]B_U_15!$Q$95</definedName>
    <definedName name="bu15total98a">[4]B_U_15!$Q$103</definedName>
    <definedName name="bu16total84">[4]B_U_16!$C$95</definedName>
    <definedName name="bu16total84a">[4]B_U_16!$C$103</definedName>
    <definedName name="bu16total85">[4]B_U_16!$D$95</definedName>
    <definedName name="bu16total85a">[4]B_U_16!$D$103</definedName>
    <definedName name="bu16total86">[4]B_U_16!$E$95</definedName>
    <definedName name="bu16total86a">[4]B_U_16!$E$103</definedName>
    <definedName name="bu16total87">[4]B_U_16!$F$95</definedName>
    <definedName name="bu16total87a">[4]B_U_16!$F$103</definedName>
    <definedName name="bu16total88">[4]B_U_16!$G$95</definedName>
    <definedName name="bu16total88a">[4]B_U_16!$G$103</definedName>
    <definedName name="bu16total89">[4]B_U_16!$H$95</definedName>
    <definedName name="bu16total89a">[4]B_U_16!$H$103</definedName>
    <definedName name="bu16total90">[4]B_U_16!$I$95</definedName>
    <definedName name="bu16total90a">[4]B_U_16!$I$103</definedName>
    <definedName name="bu16total91">[4]B_U_16!$J$95</definedName>
    <definedName name="bu16total91a">[4]B_U_16!$J$103</definedName>
    <definedName name="bu16total92">[4]B_U_16!$K$95</definedName>
    <definedName name="bu16total92a">[4]B_U_16!$K$103</definedName>
    <definedName name="bu16total93">[4]B_U_16!$L$95</definedName>
    <definedName name="bu16total93a">[4]B_U_16!$L$103</definedName>
    <definedName name="bu16total94">[4]B_U_16!$M$95</definedName>
    <definedName name="bu16total94a">[4]B_U_16!$M$103</definedName>
    <definedName name="bu16total95">[4]B_U_16!$N$95</definedName>
    <definedName name="bu16total95a">[4]B_U_16!$N$103</definedName>
    <definedName name="bu16total96">[4]B_U_16!$O$95</definedName>
    <definedName name="bu16total96a">[4]B_U_16!$O$103</definedName>
    <definedName name="bu16total97">[4]B_U_16!$P$95</definedName>
    <definedName name="bu16total97a">[4]B_U_16!$P$103</definedName>
    <definedName name="bu16total98">[4]B_U_16!$Q$95</definedName>
    <definedName name="bu16total98a">[4]B_U_16!$Q$103</definedName>
    <definedName name="bu17total84">[4]B_U_17!$C$95</definedName>
    <definedName name="bu17total84a">[4]B_U_17!$C$103</definedName>
    <definedName name="bu17total85">[4]B_U_17!$D$95</definedName>
    <definedName name="bu17total85a">[4]B_U_17!$D$103</definedName>
    <definedName name="bu17total86">[4]B_U_17!$E$95</definedName>
    <definedName name="bu17total86a">[4]B_U_17!$E$103</definedName>
    <definedName name="bu17total87">[4]B_U_17!$F$95</definedName>
    <definedName name="bu17total87a">[4]B_U_17!$F$103</definedName>
    <definedName name="bu17total88">[4]B_U_17!$G$95</definedName>
    <definedName name="bu17total88a">[4]B_U_17!$G$103</definedName>
    <definedName name="bu17total89">[4]B_U_17!$H$95</definedName>
    <definedName name="bu17total89a">[4]B_U_17!$H$103</definedName>
    <definedName name="bu17total90">[4]B_U_17!$I$95</definedName>
    <definedName name="bu17total90a">[4]B_U_17!$I$103</definedName>
    <definedName name="bu17total91">[4]B_U_17!$J$95</definedName>
    <definedName name="bu17total91a">[4]B_U_17!$J$103</definedName>
    <definedName name="bu17total92">[4]B_U_17!$K$95</definedName>
    <definedName name="bu17total92a">[4]B_U_17!$K$103</definedName>
    <definedName name="bu17total93">[4]B_U_17!$L$95</definedName>
    <definedName name="bu17total93a">[4]B_U_17!$L$103</definedName>
    <definedName name="bu17total94">[4]B_U_17!$M$95</definedName>
    <definedName name="bu17total94a">[4]B_U_17!$M$103</definedName>
    <definedName name="bu17total95">[4]B_U_17!$N$95</definedName>
    <definedName name="bu17total95a">[4]B_U_17!$N$103</definedName>
    <definedName name="bu17total96">[4]B_U_17!$O$95</definedName>
    <definedName name="bu17total96a">[4]B_U_17!$O$103</definedName>
    <definedName name="bu17total97">[4]B_U_17!$P$95</definedName>
    <definedName name="bu17total97a">[4]B_U_17!$P$103</definedName>
    <definedName name="bu17total98">[4]B_U_17!$Q$95</definedName>
    <definedName name="bu17total98a">[4]B_U_17!$Q$103</definedName>
    <definedName name="bu18total84">[4]B_U_18!$C$95</definedName>
    <definedName name="bu18total84a">[4]B_U_18!$C$103</definedName>
    <definedName name="bu18total85">[4]B_U_18!$D$95</definedName>
    <definedName name="bu18total85a">[4]B_U_18!$D$103</definedName>
    <definedName name="bu18total86">[4]B_U_18!$E$95</definedName>
    <definedName name="bu18total86a">[4]B_U_18!$E$103</definedName>
    <definedName name="bu18total87">[4]B_U_18!$F$95</definedName>
    <definedName name="bu18total87a">[4]B_U_18!$F$103</definedName>
    <definedName name="bu18total88">[4]B_U_18!$G$95</definedName>
    <definedName name="bu18total88a">[4]B_U_18!$G$103</definedName>
    <definedName name="bu18total89">[4]B_U_18!$H$95</definedName>
    <definedName name="bu18total89a">[4]B_U_18!$H$103</definedName>
    <definedName name="bu18total90">[4]B_U_18!$I$95</definedName>
    <definedName name="bu18total90a">[4]B_U_18!$I$103</definedName>
    <definedName name="bu18total91">[4]B_U_18!$J$95</definedName>
    <definedName name="bu18total91a">[4]B_U_18!$J$103</definedName>
    <definedName name="bu18total92">[4]B_U_18!$K$95</definedName>
    <definedName name="bu18total92a">[4]B_U_18!$K$103</definedName>
    <definedName name="bu18total93">[4]B_U_18!$L$95</definedName>
    <definedName name="bu18total93a">[4]B_U_18!$L$103</definedName>
    <definedName name="bu18total94">[4]B_U_18!$M$95</definedName>
    <definedName name="bu18total94a">[4]B_U_18!$M$103</definedName>
    <definedName name="bu18total95">[4]B_U_18!$N$95</definedName>
    <definedName name="bu18total95a">[4]B_U_18!$N$103</definedName>
    <definedName name="bu18total96">[4]B_U_18!$O$95</definedName>
    <definedName name="bu18total96a">[4]B_U_18!$O$103</definedName>
    <definedName name="bu18total97">[4]B_U_18!$P$95</definedName>
    <definedName name="bu18total97a">[4]B_U_18!$P$103</definedName>
    <definedName name="bu18total98">[4]B_U_18!$Q$95</definedName>
    <definedName name="bu18total98a">[4]B_U_18!$Q$103</definedName>
    <definedName name="bu19total84">[4]B_U_19!$C$95</definedName>
    <definedName name="bu19total84a">[4]B_U_19!$C$103</definedName>
    <definedName name="bu19total85">[4]B_U_19!$D$95</definedName>
    <definedName name="bu19total85a">[4]B_U_19!$D$103</definedName>
    <definedName name="bu19total86">[4]B_U_19!$E$95</definedName>
    <definedName name="bu19total86a">[4]B_U_19!$E$103</definedName>
    <definedName name="bu19total87">[4]B_U_19!$F$95</definedName>
    <definedName name="bu19total87a">[4]B_U_19!$F$103</definedName>
    <definedName name="bu19total88">[4]B_U_19!$G$95</definedName>
    <definedName name="bu19total88a">[4]B_U_19!$G$103</definedName>
    <definedName name="bu19total89">[4]B_U_19!$H$95</definedName>
    <definedName name="bu19total89a">[4]B_U_19!$H$103</definedName>
    <definedName name="bu19total90">[4]B_U_19!$I$95</definedName>
    <definedName name="bu19total90a">[4]B_U_19!$I$103</definedName>
    <definedName name="bu19total91">[4]B_U_19!$J$95</definedName>
    <definedName name="bu19total91a">[4]B_U_19!$J$103</definedName>
    <definedName name="bu19total92">[4]B_U_19!$K$95</definedName>
    <definedName name="bu19total92a">[4]B_U_19!$K$103</definedName>
    <definedName name="bu19total93">[4]B_U_19!$L$95</definedName>
    <definedName name="bu19total93a">[4]B_U_19!$L$103</definedName>
    <definedName name="bu19total94">[4]B_U_19!$M$95</definedName>
    <definedName name="bu19total94a">[4]B_U_19!$M$103</definedName>
    <definedName name="bu19total95">[4]B_U_19!$N$95</definedName>
    <definedName name="bu19total95a">[4]B_U_19!$N$103</definedName>
    <definedName name="bu19total96">[4]B_U_19!$O$95</definedName>
    <definedName name="bu19total96a">[4]B_U_19!$O$103</definedName>
    <definedName name="bu19total97">[4]B_U_19!$P$95</definedName>
    <definedName name="bu19total97a">[4]B_U_19!$P$103</definedName>
    <definedName name="bu19total98">[4]B_U_19!$Q$95</definedName>
    <definedName name="bu19total98a">[4]B_U_19!$Q$103</definedName>
    <definedName name="bu1total84">'[4]PHASE II'!$C$95</definedName>
    <definedName name="bu1total84a">'[4]PHASE II'!$C$103</definedName>
    <definedName name="bu1total85">'[4]PHASE II'!$D$95</definedName>
    <definedName name="bu1total85a">'[4]PHASE II'!$D$103</definedName>
    <definedName name="bu1total86">'[4]PHASE II'!$E$95</definedName>
    <definedName name="bu1total86a">'[4]PHASE II'!$E$103</definedName>
    <definedName name="bu1total87">'[4]PHASE II'!$F$95</definedName>
    <definedName name="bu1total87a">'[4]PHASE II'!$F$103</definedName>
    <definedName name="bu1total88">'[4]PHASE II'!$G$95</definedName>
    <definedName name="bu1total88a">'[4]PHASE II'!$G$103</definedName>
    <definedName name="bu1total89">'[4]PHASE II'!$H$95</definedName>
    <definedName name="bu1total89a">'[4]PHASE II'!$H$103</definedName>
    <definedName name="bu1total90">'[4]PHASE II'!$I$95</definedName>
    <definedName name="bu1total90a">'[4]PHASE II'!$I$103</definedName>
    <definedName name="bu1total91">'[4]PHASE II'!$K$95</definedName>
    <definedName name="bu1total91a">'[4]PHASE II'!$K$103</definedName>
    <definedName name="bu1total92">'[4]PHASE II'!$M$95</definedName>
    <definedName name="bu1total92a">'[4]PHASE II'!$M$103</definedName>
    <definedName name="bu1total93">'[4]PHASE II'!$O$95</definedName>
    <definedName name="bu1total93a">'[4]PHASE II'!$O$103</definedName>
    <definedName name="bu1total94">'[4]PHASE II'!$Q$95</definedName>
    <definedName name="bu1total94a">'[4]PHASE II'!$Q$103</definedName>
    <definedName name="bu1total95">'[4]PHASE II'!$S$95</definedName>
    <definedName name="bu1total95a">'[4]PHASE II'!$S$103</definedName>
    <definedName name="bu1total96">'[4]PHASE II'!$T$95</definedName>
    <definedName name="bu1total96a">'[4]PHASE II'!$T$103</definedName>
    <definedName name="bu1total97">'[4]PHASE II'!$U$95</definedName>
    <definedName name="bu1total97a">'[4]PHASE II'!$U$103</definedName>
    <definedName name="bu1total98">'[4]PHASE II'!$W$95</definedName>
    <definedName name="bu1total98a">'[4]PHASE II'!$W$103</definedName>
    <definedName name="bu20total84">[4]B_U_20!$C$95</definedName>
    <definedName name="bu20total84a">[4]B_U_20!$C$103</definedName>
    <definedName name="bu20total85">[4]B_U_20!$D$95</definedName>
    <definedName name="bu20total85a">[4]B_U_20!$D$103</definedName>
    <definedName name="bu20total86">[4]B_U_20!$E$95</definedName>
    <definedName name="bu20total86a">[4]B_U_20!$E$103</definedName>
    <definedName name="bu20total87">[4]B_U_20!$F$95</definedName>
    <definedName name="bu20total87a">[4]B_U_20!$F$103</definedName>
    <definedName name="bu20total88">[4]B_U_20!$G$95</definedName>
    <definedName name="bu20total88a">[4]B_U_20!$G$103</definedName>
    <definedName name="bu20total89">[4]B_U_20!$H$95</definedName>
    <definedName name="bu20total89a">[4]B_U_20!$H$103</definedName>
    <definedName name="bu20total90">[4]B_U_20!$I$95</definedName>
    <definedName name="bu20total90a">[4]B_U_20!$I$103</definedName>
    <definedName name="bu20total91">[4]B_U_20!$J$95</definedName>
    <definedName name="bu20total91a">[4]B_U_20!$J$103</definedName>
    <definedName name="bu20total92">[4]B_U_20!$K$95</definedName>
    <definedName name="bu20total92a">[4]B_U_20!$K$103</definedName>
    <definedName name="bu20total93">[4]B_U_20!$L$95</definedName>
    <definedName name="bu20total93a">[4]B_U_20!$L$103</definedName>
    <definedName name="bu20total94">[4]B_U_20!$M$95</definedName>
    <definedName name="bu20total94a">[4]B_U_20!$M$103</definedName>
    <definedName name="bu20total95">[4]B_U_20!$N$95</definedName>
    <definedName name="bu20total95a">[4]B_U_20!$N$103</definedName>
    <definedName name="bu20total96">[4]B_U_20!$O$95</definedName>
    <definedName name="bu20total96a">[4]B_U_20!$O$103</definedName>
    <definedName name="bu20total97">[4]B_U_20!$P$95</definedName>
    <definedName name="bu20total97a">[4]B_U_20!$P$103</definedName>
    <definedName name="bu20total98">[4]B_U_20!$Q$95</definedName>
    <definedName name="bu20total98a">[4]B_U_20!$Q$103</definedName>
    <definedName name="bu21total84">[4]B_U_21!$C$95</definedName>
    <definedName name="bu21total84a">[4]B_U_21!$C$103</definedName>
    <definedName name="bu21total85">[4]B_U_21!$D$95</definedName>
    <definedName name="bu21total85a">[4]B_U_21!$D$103</definedName>
    <definedName name="bu21total86">[4]B_U_21!$E$95</definedName>
    <definedName name="bu21total86a">[4]B_U_21!$E$103</definedName>
    <definedName name="bu21total87">[4]B_U_21!$F$95</definedName>
    <definedName name="bu21total87a">[4]B_U_21!$F$103</definedName>
    <definedName name="bu21total88">[4]B_U_21!$G$95</definedName>
    <definedName name="bu21total88a">[4]B_U_21!$G$103</definedName>
    <definedName name="bu21total89">[4]B_U_21!$H$95</definedName>
    <definedName name="bu21total89a">[4]B_U_21!$H$103</definedName>
    <definedName name="bu21total90">[4]B_U_21!$I$95</definedName>
    <definedName name="bu21total90a">[4]B_U_21!$I$103</definedName>
    <definedName name="bu21total91">[4]B_U_21!$J$95</definedName>
    <definedName name="bu21total91a">[4]B_U_21!$J$103</definedName>
    <definedName name="bu21total92">[4]B_U_21!$K$95</definedName>
    <definedName name="bu21total92a">[4]B_U_21!$K$103</definedName>
    <definedName name="bu21total93">[4]B_U_21!$L$95</definedName>
    <definedName name="bu21total93a">[4]B_U_21!$L$103</definedName>
    <definedName name="bu21total94">[4]B_U_21!$M$95</definedName>
    <definedName name="bu21total94a">[4]B_U_21!$M$103</definedName>
    <definedName name="bu21total95">[4]B_U_21!$N$95</definedName>
    <definedName name="bu21total95a">[4]B_U_21!$N$103</definedName>
    <definedName name="bu21total96">[4]B_U_21!$O$95</definedName>
    <definedName name="bu21total96a">[4]B_U_21!$O$103</definedName>
    <definedName name="bu21total97">[4]B_U_21!$P$95</definedName>
    <definedName name="bu21total97a">[4]B_U_21!$P$103</definedName>
    <definedName name="bu21total98">[4]B_U_21!$Q$95</definedName>
    <definedName name="bu21total98a">[4]B_U_21!$Q$103</definedName>
    <definedName name="bu22total84">[4]B_U_22!$C$95</definedName>
    <definedName name="bu22total84a">[4]B_U_22!$C$103</definedName>
    <definedName name="bu22total85">[4]B_U_22!$D$95</definedName>
    <definedName name="bu22total85a">[4]B_U_22!$D$103</definedName>
    <definedName name="bu22total86">[4]B_U_22!$E$95</definedName>
    <definedName name="bu22total86a">[4]B_U_22!$E$103</definedName>
    <definedName name="bu22total87">[4]B_U_22!$F$95</definedName>
    <definedName name="bu22total87a">[4]B_U_22!$F$103</definedName>
    <definedName name="bu22total88">[4]B_U_22!$G$95</definedName>
    <definedName name="bu22total88a">[4]B_U_22!$G$103</definedName>
    <definedName name="bu22total89">[4]B_U_22!$H$95</definedName>
    <definedName name="bu22total89a">[4]B_U_22!$H$103</definedName>
    <definedName name="bu22total90">[4]B_U_22!$I$95</definedName>
    <definedName name="bu22total90a">[4]B_U_22!$I$103</definedName>
    <definedName name="bu22total91">[4]B_U_22!$J$95</definedName>
    <definedName name="bu22total91a">[4]B_U_22!$J$103</definedName>
    <definedName name="bu22total92">[4]B_U_22!$K$95</definedName>
    <definedName name="bu22total92a">[4]B_U_22!$K$103</definedName>
    <definedName name="bu22total93">[4]B_U_22!$L$95</definedName>
    <definedName name="bu22total93a">[4]B_U_22!$L$103</definedName>
    <definedName name="bu22total94">[4]B_U_22!$M$95</definedName>
    <definedName name="bu22total94a">[4]B_U_22!$M$103</definedName>
    <definedName name="bu22total95">[4]B_U_22!$N$95</definedName>
    <definedName name="bu22total95a">[4]B_U_22!$N$103</definedName>
    <definedName name="bu22total96">[4]B_U_22!$O$95</definedName>
    <definedName name="bu22total96a">[4]B_U_22!$O$103</definedName>
    <definedName name="bu22total97">[4]B_U_22!$P$95</definedName>
    <definedName name="bu22total97a">[4]B_U_22!$P$103</definedName>
    <definedName name="bu22total98">[4]B_U_22!$Q$95</definedName>
    <definedName name="bu22total98a">[4]B_U_22!$Q$103</definedName>
    <definedName name="bu23total84">[4]B_U_23!$C$95</definedName>
    <definedName name="bu23total84a">[4]B_U_23!$C$103</definedName>
    <definedName name="bu23total85">[4]B_U_23!$D$95</definedName>
    <definedName name="bu23total85a">[4]B_U_23!$D$103</definedName>
    <definedName name="bu23total86">[4]B_U_23!$E$95</definedName>
    <definedName name="bu23total86a">[4]B_U_23!$E$103</definedName>
    <definedName name="bu23total87">[4]B_U_23!$F$95</definedName>
    <definedName name="bu23total87a">[4]B_U_23!$F$103</definedName>
    <definedName name="bu23total88">[4]B_U_23!$G$95</definedName>
    <definedName name="bu23total88a">[4]B_U_23!$G$103</definedName>
    <definedName name="bu23total89">[4]B_U_23!$H$95</definedName>
    <definedName name="bu23total89a">[4]B_U_23!$H$103</definedName>
    <definedName name="bu23total90">[4]B_U_23!$I$95</definedName>
    <definedName name="bu23total90a">[4]B_U_23!$I$103</definedName>
    <definedName name="bu23total91">[4]B_U_23!$J$95</definedName>
    <definedName name="bu23total91a">[4]B_U_23!$J$103</definedName>
    <definedName name="bu23total92">[4]B_U_23!$K$95</definedName>
    <definedName name="bu23total92a">[4]B_U_23!$K$103</definedName>
    <definedName name="bu23total93">[4]B_U_23!$L$95</definedName>
    <definedName name="bu23total93a">[4]B_U_23!$L$103</definedName>
    <definedName name="bu23total94">[4]B_U_23!$M$95</definedName>
    <definedName name="bu23total94a">[4]B_U_23!$M$103</definedName>
    <definedName name="bu23total95">[4]B_U_23!$N$95</definedName>
    <definedName name="bu23total95a">[4]B_U_23!$N$103</definedName>
    <definedName name="bu23total96">[4]B_U_23!$O$95</definedName>
    <definedName name="bu23total96a">[4]B_U_23!$O$103</definedName>
    <definedName name="bu23total97">[4]B_U_23!$P$95</definedName>
    <definedName name="bu23total97a">[4]B_U_23!$P$103</definedName>
    <definedName name="bu23total98">[4]B_U_23!$Q$95</definedName>
    <definedName name="bu23total98a">[4]B_U_23!$Q$103</definedName>
    <definedName name="bu2total84">'[4]ORIGINAL CLAIM'!$C$95</definedName>
    <definedName name="bu2total84a">'[4]ORIGINAL CLAIM'!$C$103</definedName>
    <definedName name="bu2total85">'[4]ORIGINAL CLAIM'!$D$95</definedName>
    <definedName name="bu2total85a">'[4]ORIGINAL CLAIM'!$D$103</definedName>
    <definedName name="bu2total86">'[4]ORIGINAL CLAIM'!$E$95</definedName>
    <definedName name="bu2total86a">'[4]ORIGINAL CLAIM'!$E$103</definedName>
    <definedName name="bu2total87">'[4]ORIGINAL CLAIM'!$F$95</definedName>
    <definedName name="bu2total87a">'[4]ORIGINAL CLAIM'!$F$103</definedName>
    <definedName name="bu2total88">'[4]ORIGINAL CLAIM'!$G$95</definedName>
    <definedName name="bu2total88a">'[4]ORIGINAL CLAIM'!$G$103</definedName>
    <definedName name="bu2total89">'[4]ORIGINAL CLAIM'!$H$95</definedName>
    <definedName name="bu2total89a">'[4]ORIGINAL CLAIM'!$H$103</definedName>
    <definedName name="bu2total90">'[4]ORIGINAL CLAIM'!$I$95</definedName>
    <definedName name="bu2total90a">'[4]ORIGINAL CLAIM'!$I$103</definedName>
    <definedName name="bu2total91">'[4]ORIGINAL CLAIM'!$J$95</definedName>
    <definedName name="bu2total91a">'[4]ORIGINAL CLAIM'!$J$103</definedName>
    <definedName name="bu2total92">'[4]ORIGINAL CLAIM'!$K$95</definedName>
    <definedName name="bu2total92a">'[4]ORIGINAL CLAIM'!$K$103</definedName>
    <definedName name="bu2total93">'[4]ORIGINAL CLAIM'!$L$95</definedName>
    <definedName name="bu2total93a">'[4]ORIGINAL CLAIM'!$L$103</definedName>
    <definedName name="bu2total94">'[4]ORIGINAL CLAIM'!$M$95</definedName>
    <definedName name="bu2total94a">'[4]ORIGINAL CLAIM'!$M$103</definedName>
    <definedName name="bu2total95">'[4]ORIGINAL CLAIM'!$N$95</definedName>
    <definedName name="bu2total95a">'[4]ORIGINAL CLAIM'!$N$103</definedName>
    <definedName name="bu2total96">'[4]ORIGINAL CLAIM'!$O$95</definedName>
    <definedName name="bu2total96a">'[4]ORIGINAL CLAIM'!$O$103</definedName>
    <definedName name="bu2total97">'[4]ORIGINAL CLAIM'!$P$95</definedName>
    <definedName name="bu2total97a">'[4]ORIGINAL CLAIM'!$P$103</definedName>
    <definedName name="bu2total98">'[4]ORIGINAL CLAIM'!$Q$95</definedName>
    <definedName name="bu2total98a">'[4]ORIGINAL CLAIM'!$Q$103</definedName>
    <definedName name="bu3total84">[4]B_U_3!$C$95</definedName>
    <definedName name="bu3total84a">[4]B_U_3!$C$103</definedName>
    <definedName name="bu3total85">[4]B_U_3!$D$95</definedName>
    <definedName name="bu3total85a">[4]B_U_3!$D$103</definedName>
    <definedName name="bu3total86">[4]B_U_3!$E$95</definedName>
    <definedName name="bu3total86a">[4]B_U_3!$E$103</definedName>
    <definedName name="bu3total87">[4]B_U_3!$F$95</definedName>
    <definedName name="bu3total87a">[4]B_U_3!$F$103</definedName>
    <definedName name="bu3total88">[4]B_U_3!$G$95</definedName>
    <definedName name="bu3total88a">[4]B_U_3!$G$103</definedName>
    <definedName name="bu3total89">[4]B_U_3!$H$95</definedName>
    <definedName name="bu3total89a">[4]B_U_3!$H$103</definedName>
    <definedName name="bu3total90">[4]B_U_3!$I$95</definedName>
    <definedName name="bu3total90a">[4]B_U_3!$I$103</definedName>
    <definedName name="bu3total91">[4]B_U_3!$J$95</definedName>
    <definedName name="bu3total91a">[4]B_U_3!$J$103</definedName>
    <definedName name="bu3total92">[4]B_U_3!$K$95</definedName>
    <definedName name="bu3total92a">[4]B_U_3!$K$103</definedName>
    <definedName name="bu3total93">[4]B_U_3!$L$95</definedName>
    <definedName name="bu3total93a">[4]B_U_3!$L$103</definedName>
    <definedName name="bu3total94">[4]B_U_3!$M$95</definedName>
    <definedName name="bu3total94a">[4]B_U_3!$M$103</definedName>
    <definedName name="bu3total95">[4]B_U_3!$N$95</definedName>
    <definedName name="bu3total95a">[4]B_U_3!$N$103</definedName>
    <definedName name="bu3total96">[4]B_U_3!$O$95</definedName>
    <definedName name="bu3total96a">[4]B_U_3!$O$103</definedName>
    <definedName name="bu3total97">[4]B_U_3!$P$95</definedName>
    <definedName name="bu3total97a">[4]B_U_3!$P$103</definedName>
    <definedName name="bu3total98">[4]B_U_3!$Q$95</definedName>
    <definedName name="bu3total98a">[4]B_U_3!$Q$103</definedName>
    <definedName name="bu4total84">[4]B_U_4!$C$95</definedName>
    <definedName name="bu4total84a">[4]B_U_4!$C$103</definedName>
    <definedName name="bu4total85">[4]B_U_4!$D$95</definedName>
    <definedName name="bu4total85a">[4]B_U_4!$D$103</definedName>
    <definedName name="bu4total86">[4]B_U_4!$E$95</definedName>
    <definedName name="bu4total86a">[4]B_U_4!$E$103</definedName>
    <definedName name="bu4total87">[4]B_U_4!$F$95</definedName>
    <definedName name="bu4total87a">[4]B_U_4!$F$103</definedName>
    <definedName name="bu4total88">[4]B_U_4!$G$95</definedName>
    <definedName name="bu4total88a">[4]B_U_4!$G$103</definedName>
    <definedName name="bu4total89">[4]B_U_4!$H$95</definedName>
    <definedName name="bu4total89a">[4]B_U_4!$H$103</definedName>
    <definedName name="bu4total90">[4]B_U_4!$I$95</definedName>
    <definedName name="bu4total90a">[4]B_U_4!$I$103</definedName>
    <definedName name="bu4total91">[4]B_U_4!$J$95</definedName>
    <definedName name="bu4total91a">[4]B_U_4!$J$103</definedName>
    <definedName name="bu4total92">[4]B_U_4!$K$95</definedName>
    <definedName name="bu4total92a">[4]B_U_4!$K$103</definedName>
    <definedName name="bu4total93">[4]B_U_4!$L$95</definedName>
    <definedName name="bu4total93a">[4]B_U_4!$L$103</definedName>
    <definedName name="bu4total94">[4]B_U_4!$M$95</definedName>
    <definedName name="bu4total94a">[4]B_U_4!$M$103</definedName>
    <definedName name="bu4total95">[4]B_U_4!$N$95</definedName>
    <definedName name="bu4total95a">[4]B_U_4!$N$103</definedName>
    <definedName name="bu4total96">[4]B_U_4!$O$95</definedName>
    <definedName name="bu4total96a">[4]B_U_4!$O$103</definedName>
    <definedName name="bu4total97">[4]B_U_4!$P$95</definedName>
    <definedName name="bu4total97a">[4]B_U_4!$P$103</definedName>
    <definedName name="bu4total98">[4]B_U_4!$Q$95</definedName>
    <definedName name="bu4total98a">[4]B_U_4!$Q$103</definedName>
    <definedName name="bu5total84">[4]B_U_5!$C$95</definedName>
    <definedName name="bu5total84a">[4]B_U_5!$C$103</definedName>
    <definedName name="bu5total85">[4]B_U_5!$D$95</definedName>
    <definedName name="bu5total85a">[4]B_U_5!$D$103</definedName>
    <definedName name="bu5total86">[4]B_U_5!$E$95</definedName>
    <definedName name="bu5total86a">[4]B_U_5!$E$103</definedName>
    <definedName name="bu5total87">[4]B_U_5!$F$95</definedName>
    <definedName name="bu5total87a">[4]B_U_5!$F$103</definedName>
    <definedName name="bu5total88">[4]B_U_5!$G$95</definedName>
    <definedName name="bu5total88a">[4]B_U_5!$G$103</definedName>
    <definedName name="bu5total89">[4]B_U_5!$H$95</definedName>
    <definedName name="bu5total89a">[4]B_U_5!$H$103</definedName>
    <definedName name="bu5total90">[4]B_U_5!$I$95</definedName>
    <definedName name="bu5total90a">[4]B_U_5!$I$103</definedName>
    <definedName name="bu5total91">[4]B_U_5!$J$95</definedName>
    <definedName name="bu5total91a">[4]B_U_5!$J$103</definedName>
    <definedName name="bu5total92">[4]B_U_5!$K$95</definedName>
    <definedName name="bu5total92a">[4]B_U_5!$K$103</definedName>
    <definedName name="bu5total93">[4]B_U_5!$L$95</definedName>
    <definedName name="bu5total93a">[4]B_U_5!$L$103</definedName>
    <definedName name="bu5total94">[4]B_U_5!$M$95</definedName>
    <definedName name="bu5total94a">[4]B_U_5!$M$103</definedName>
    <definedName name="bu5total95">[4]B_U_5!$N$95</definedName>
    <definedName name="bu5total95a">[4]B_U_5!$N$103</definedName>
    <definedName name="bu5total96">[4]B_U_5!$O$95</definedName>
    <definedName name="bu5total96a">[4]B_U_5!$O$103</definedName>
    <definedName name="bu5total97">[4]B_U_5!$P$95</definedName>
    <definedName name="bu5total97a">[4]B_U_5!$P$103</definedName>
    <definedName name="bu5total98">[4]B_U_5!$Q$95</definedName>
    <definedName name="bu5total98a">[4]B_U_5!$Q$103</definedName>
    <definedName name="bu6total84">[4]B_U_6!$C$94</definedName>
    <definedName name="bu6total84a">[4]B_U_6!$C$103</definedName>
    <definedName name="bu6total85">[4]B_U_6!$D$94</definedName>
    <definedName name="bu6total85a">[4]B_U_6!$D$103</definedName>
    <definedName name="bu6total86">[4]B_U_6!$E$94</definedName>
    <definedName name="bu6total86a">[4]B_U_6!$E$103</definedName>
    <definedName name="bu6total87">[4]B_U_6!$F$94</definedName>
    <definedName name="bu6total87a">[4]B_U_6!$F$103</definedName>
    <definedName name="bu6total88">[4]B_U_6!$G$94</definedName>
    <definedName name="bu6total88a">[4]B_U_6!$G$103</definedName>
    <definedName name="bu6total89">[4]B_U_6!$H$94</definedName>
    <definedName name="bu6total89a">[4]B_U_6!$H$103</definedName>
    <definedName name="bu6total90">[4]B_U_6!$I$94</definedName>
    <definedName name="bu6total90a">[4]B_U_6!$I$103</definedName>
    <definedName name="bu6total91">[4]B_U_6!$J$94</definedName>
    <definedName name="bu6total91a">[4]B_U_6!$J$103</definedName>
    <definedName name="bu6total92">[4]B_U_6!$K$94</definedName>
    <definedName name="bu6total92a">[4]B_U_6!$K$103</definedName>
    <definedName name="bu6total93">[4]B_U_6!$L$94</definedName>
    <definedName name="bu6total93a">[4]B_U_6!$L$103</definedName>
    <definedName name="bu6total94">[4]B_U_6!$M$94</definedName>
    <definedName name="bu6total94a">[4]B_U_6!$M$103</definedName>
    <definedName name="bu6total95">[4]B_U_6!$N$94</definedName>
    <definedName name="bu6total95a">[4]B_U_6!$N$103</definedName>
    <definedName name="bu6total96">[4]B_U_6!$O$94</definedName>
    <definedName name="bu6total96a">[4]B_U_6!$O$103</definedName>
    <definedName name="bu6total97">[4]B_U_6!$P$94</definedName>
    <definedName name="bu6total97a">[4]B_U_6!$P$103</definedName>
    <definedName name="bu6total98">[4]B_U_6!$Q$94</definedName>
    <definedName name="bu6total98a">[4]B_U_6!$Q$103</definedName>
    <definedName name="bu7total84">[4]B_U_7!$C$95</definedName>
    <definedName name="bu7total84a">[4]B_U_7!$C$103</definedName>
    <definedName name="bu7total85">[4]B_U_7!$D$95</definedName>
    <definedName name="bu7total85a">[4]B_U_7!$D$103</definedName>
    <definedName name="bu7total86">[4]B_U_7!$E$95</definedName>
    <definedName name="bu7total86a">[4]B_U_7!$E$103</definedName>
    <definedName name="bu7total87">[4]B_U_7!$F$95</definedName>
    <definedName name="bu7total87a">[4]B_U_7!$F$103</definedName>
    <definedName name="bu7total88">[4]B_U_7!$G$95</definedName>
    <definedName name="bu7total88a">[4]B_U_7!$G$103</definedName>
    <definedName name="bu7total89">[4]B_U_7!$H$95</definedName>
    <definedName name="bu7total89a">[4]B_U_7!$H$103</definedName>
    <definedName name="bu7total90">[4]B_U_7!$I$95</definedName>
    <definedName name="bu7total90a">[4]B_U_7!$I$103</definedName>
    <definedName name="bu7total91">[4]B_U_7!$J$95</definedName>
    <definedName name="bu7total91a">[4]B_U_7!$J$103</definedName>
    <definedName name="bu7total92">[4]B_U_7!$K$95</definedName>
    <definedName name="bu7total92a">[4]B_U_7!$K$103</definedName>
    <definedName name="bu7total93">[4]B_U_7!$L$95</definedName>
    <definedName name="bu7total93a">[4]B_U_7!$L$103</definedName>
    <definedName name="bu7total94">[4]B_U_7!$M$95</definedName>
    <definedName name="bu7total94a">[4]B_U_7!$M$103</definedName>
    <definedName name="bu7total95">[4]B_U_7!$N$95</definedName>
    <definedName name="bu7total95a">[4]B_U_7!$N$103</definedName>
    <definedName name="bu7total96">[4]B_U_7!$O$95</definedName>
    <definedName name="bu7total96a">[4]B_U_7!$O$103</definedName>
    <definedName name="bu7total97">[4]B_U_7!$P$95</definedName>
    <definedName name="bu7total97a">[4]B_U_7!$P$103</definedName>
    <definedName name="bu7total98">[4]B_U_7!$Q$95</definedName>
    <definedName name="bu7total98a">[4]B_U_7!$Q$103</definedName>
    <definedName name="bu8total84">[4]B_U_8!$C$94</definedName>
    <definedName name="bu8total84a">[4]B_U_8!$C$103</definedName>
    <definedName name="bu8total85">[4]B_U_8!$D$94</definedName>
    <definedName name="bu8total85a">[4]B_U_8!$D$103</definedName>
    <definedName name="bu8total86">[4]B_U_8!$E$94</definedName>
    <definedName name="bu8total86a">[4]B_U_8!$E$103</definedName>
    <definedName name="bu8total87">[4]B_U_8!$F$94</definedName>
    <definedName name="bu8total87a">[4]B_U_8!$F$103</definedName>
    <definedName name="bu8total88">[4]B_U_8!$G$94</definedName>
    <definedName name="bu8total88a">[4]B_U_8!$G$103</definedName>
    <definedName name="bu8total89">[4]B_U_8!$H$94</definedName>
    <definedName name="bu8total89a">[4]B_U_8!$H$103</definedName>
    <definedName name="bu8total90">[4]B_U_8!$I$94</definedName>
    <definedName name="bu8total90a">[4]B_U_8!$I$103</definedName>
    <definedName name="bu8total91">[4]B_U_8!$J$94</definedName>
    <definedName name="bu8total91a">[4]B_U_8!$J$103</definedName>
    <definedName name="bu8total92">[4]B_U_8!$K$94</definedName>
    <definedName name="bu8total92a">[4]B_U_8!$K$103</definedName>
    <definedName name="bu8total93">[4]B_U_8!$L$94</definedName>
    <definedName name="bu8total93a">[4]B_U_8!$L$103</definedName>
    <definedName name="bu8total94">[4]B_U_8!$M$94</definedName>
    <definedName name="bu8total94a">[4]B_U_8!$M$103</definedName>
    <definedName name="bu8total95">[4]B_U_8!$N$94</definedName>
    <definedName name="bu8total95a">[4]B_U_8!$N$103</definedName>
    <definedName name="bu8total96">[4]B_U_8!$O$94</definedName>
    <definedName name="bu8total96a">[4]B_U_8!$O$103</definedName>
    <definedName name="bu8total97">[4]B_U_8!$P$94</definedName>
    <definedName name="bu8total97a">[4]B_U_8!$P$103</definedName>
    <definedName name="bu8total98">[4]B_U_8!$Q$94</definedName>
    <definedName name="bu8total98a">[4]B_U_8!$Q$103</definedName>
    <definedName name="bu9total84">[4]B_U_9!$C$95</definedName>
    <definedName name="bu9total84a">[4]B_U_9!$C$103</definedName>
    <definedName name="bu9total85">[4]B_U_9!$D$95</definedName>
    <definedName name="bu9total85a">[4]B_U_9!$D$103</definedName>
    <definedName name="bu9total86">[4]B_U_9!$E$95</definedName>
    <definedName name="bu9total86a">[4]B_U_9!$E$103</definedName>
    <definedName name="bu9total87">[4]B_U_9!$F$95</definedName>
    <definedName name="bu9total87a">[4]B_U_9!$F$103</definedName>
    <definedName name="bu9total88">[4]B_U_9!$G$95</definedName>
    <definedName name="bu9total88a">[4]B_U_9!$G$103</definedName>
    <definedName name="bu9total89">[4]B_U_9!$H$95</definedName>
    <definedName name="bu9total89a">[4]B_U_9!$H$103</definedName>
    <definedName name="bu9total90">[4]B_U_9!$I$95</definedName>
    <definedName name="bu9total90a">[4]B_U_9!$I$103</definedName>
    <definedName name="bu9total91">[4]B_U_9!$J$95</definedName>
    <definedName name="bu9total91a">[4]B_U_9!$J$103</definedName>
    <definedName name="bu9total92">[4]B_U_9!$K$95</definedName>
    <definedName name="bu9total92a">[4]B_U_9!$K$103</definedName>
    <definedName name="bu9total93">[4]B_U_9!$L$95</definedName>
    <definedName name="bu9total93a">[4]B_U_9!$L$103</definedName>
    <definedName name="bu9total94">[4]B_U_9!$M$95</definedName>
    <definedName name="bu9total94a">[4]B_U_9!$M$103</definedName>
    <definedName name="bu9total95">[4]B_U_9!$N$95</definedName>
    <definedName name="bu9total95a">[4]B_U_9!$N$103</definedName>
    <definedName name="bu9total96">[4]B_U_9!$O$95</definedName>
    <definedName name="bu9total96a">[4]B_U_9!$O$103</definedName>
    <definedName name="bu9total97">[4]B_U_9!$P$95</definedName>
    <definedName name="bu9total97a">[4]B_U_9!$P$103</definedName>
    <definedName name="bu9total98">[4]B_U_9!$Q$95</definedName>
    <definedName name="bu9total98a">[4]B_U_9!$Q$103</definedName>
    <definedName name="BUDGET_YTD">[9]Administrator!$J$60</definedName>
    <definedName name="BUName">[22]SETUP!$C$9</definedName>
    <definedName name="BUTypeAreaRes">'[11]all EED O&amp;M BO data'!$AB$2:$AB$5000</definedName>
    <definedName name="bvfzxcvxczxc">'[8]2005 CapEx (By VP By Dept) Budg'!$A$3:$P$431</definedName>
    <definedName name="bvvlhlkhjl">#REF!</definedName>
    <definedName name="C_">#REF!</definedName>
    <definedName name="Cal">'[8]2005 CapEx (By VP By Dept) Budg'!$A$3:$P$431</definedName>
    <definedName name="CalculationC">'[8]2005 CapEx (By VP By Dept) Budg'!$A$3:$P$377</definedName>
    <definedName name="CalculationCom">'[8]2005 CapEx (By VP By Dept) Budg'!$A$3:$P$377</definedName>
    <definedName name="CalculationComEd">#REF!</definedName>
    <definedName name="calculationD">'[8]2005 CapEx (By VP By Dept) Budg'!$A$3:$P$377</definedName>
    <definedName name="CalculationP">[23]Calculations!$A$3:$P$382</definedName>
    <definedName name="CalculationPeco">'[8]2005 CapEx (By VP By Dept) Budg'!$A$3:$P$382</definedName>
    <definedName name="Calculations">'[8]2005 CapEx (By VP By Dept) Budg'!$A$3:$P$431</definedName>
    <definedName name="CalculationsC">'[8]2005 CapEx (By VP By Dept) Budg'!$A$3:$P$377</definedName>
    <definedName name="CalculationsC1">'[8]2005 CapEx (By VP By Dept) Budg'!$A$3:$P$377</definedName>
    <definedName name="CalculationsC3">#REF!</definedName>
    <definedName name="CalculationsC4">#REF!</definedName>
    <definedName name="CalculationsC5">#REF!</definedName>
    <definedName name="CalculationsP">'[8]2005 CapEx (By VP By Dept) Budg'!$A$3:$P$382</definedName>
    <definedName name="CalculationsP1">'[8]2005 CapEx (By VP By Dept) Budg'!$A$3:$P$382</definedName>
    <definedName name="CalculationsP2">'[8]2005 CapEx (By VP By Dept) Budg'!$A$3:$P$382</definedName>
    <definedName name="CalculationsP3">#REF!</definedName>
    <definedName name="CalculationsP4">#REF!</definedName>
    <definedName name="CalculationsP5">#REF!</definedName>
    <definedName name="CalculationsP6">#REF!</definedName>
    <definedName name="CalculationsPe">'[8]2005 CapEx (By VP By Dept) Budg'!$A$3:$P$382</definedName>
    <definedName name="CalculationsPeco">'[8]2005 CapEx (By VP By Dept) Budg'!$A$3:$P$382</definedName>
    <definedName name="CalculatP">'[8]2005 CapEx (By VP By Dept) Budg'!$A$3:$P$382</definedName>
    <definedName name="CAPA">'[24]ACT CAP'!$D$7:$T$32</definedName>
    <definedName name="CAPB">'[24]BUD CAP'!$D$7:$O$32</definedName>
    <definedName name="Capital">#REF!</definedName>
    <definedName name="cashflow">[14]Control!$AP$5:$AP$30</definedName>
    <definedName name="cbcvbcv" hidden="1">{#N/A,#N/A,FALSE,"Monthly SAIFI";#N/A,#N/A,FALSE,"Yearly SAIFI";#N/A,#N/A,FALSE,"Monthly CAIDI";#N/A,#N/A,FALSE,"Yearly CAIDI";#N/A,#N/A,FALSE,"Monthly SAIDI";#N/A,#N/A,FALSE,"Yearly SAIDI";#N/A,#N/A,FALSE,"Monthly MAIFI";#N/A,#N/A,FALSE,"Yearly MAIFI";#N/A,#N/A,FALSE,"Monthly Cust &gt;=4 Int"}</definedName>
    <definedName name="CBEast">'[25]CBPP Summary'!$I$5:$J$16</definedName>
    <definedName name="CBT">#REF!</definedName>
    <definedName name="CBWest">'[25]CBPP Summary'!$I$19:$J$25</definedName>
    <definedName name="CBWorkbookPriority" hidden="1">-250256570</definedName>
    <definedName name="cc1end">[4]Model!$A$68:$IV$68</definedName>
    <definedName name="cc1subrange">[4]Model!$A$48:$IV$75</definedName>
    <definedName name="cc2origin">[4]Model!$A$76</definedName>
    <definedName name="cc2subrange">[4]Model!$A$124:$IV$146</definedName>
    <definedName name="cc3subrange">[4]Model!$A$152:$IV$179</definedName>
    <definedName name="ccbbcvbc" hidden="1">{#N/A,#N/A,FALSE,"Monthly SAIFI";#N/A,#N/A,FALSE,"Yearly SAIFI";#N/A,#N/A,FALSE,"Monthly CAIDI";#N/A,#N/A,FALSE,"Yearly CAIDI";#N/A,#N/A,FALSE,"Monthly SAIDI";#N/A,#N/A,FALSE,"Yearly SAIDI";#N/A,#N/A,FALSE,"Monthly MAIFI";#N/A,#N/A,FALSE,"Yearly MAIFI";#N/A,#N/A,FALSE,"Monthly Cust &gt;=4 Int"}</definedName>
    <definedName name="CCTR_Data">[26]CCTR_Data!$A$5:$B$5086</definedName>
    <definedName name="CEP">[17]Assumptions!#REF!</definedName>
    <definedName name="CEP_Amortization">'[16]JFJ-4 CEP Rate'!$A$28:$F$83</definedName>
    <definedName name="Choose_Prefs">[27]!Choose_Prefs</definedName>
    <definedName name="chrtContract">'[4]QRE Charts'!$C$274:$R$297</definedName>
    <definedName name="chrtSensitivity">'[4]QRE Charts'!$D$372:$O$375</definedName>
    <definedName name="chrtSensWages">'[4]Sens_QRE''s'!$C$118:$R$141</definedName>
    <definedName name="chrtSupplies">'[4]QRE Charts'!$C$248:$R$271</definedName>
    <definedName name="chrtTax">'[4]QRE Charts'!$C$327:$E$342</definedName>
    <definedName name="chrtTotalByCo">'[4]QRE Charts'!$C$300:$R$323</definedName>
    <definedName name="chrtTotalByType">'[4]QRE Charts'!$C$216:$R$219</definedName>
    <definedName name="chrtWages">'[4]QRE Charts'!$C$222:$R$245</definedName>
    <definedName name="ClaculationC">#REF!</definedName>
    <definedName name="ClaculationP">#REF!</definedName>
    <definedName name="ClaculationsC">#REF!</definedName>
    <definedName name="Class">#REF!</definedName>
    <definedName name="CLDR">#REF!</definedName>
    <definedName name="CoAreaDept">'[11]all EED O&amp;M BO data'!$AA$2:$AA$5000</definedName>
    <definedName name="COGEN">'[28]October Tariff kwh'!$A$1:$H$83</definedName>
    <definedName name="comed1">'[8]2005 CapEx (By VP By Dept) Budg'!$A$3:$P$377</definedName>
    <definedName name="comed2">'[8]2005 CapEx (By VP By Dept) Budg'!$A$3:$P$377</definedName>
    <definedName name="comedmfr2">'[8]2005 CapEx (By VP By Dept) Budg'!$A$3:$P$377</definedName>
    <definedName name="COMMONWEALTH_EDISON_COMPANY">#REF!</definedName>
    <definedName name="Company_Name">[4]Menu!$I$11</definedName>
    <definedName name="CompanyCount">'[4]QRE Charts'!$F$214</definedName>
    <definedName name="COMPAR_PRT_RNG">[4]Comparison!$B$8:$BT$170</definedName>
    <definedName name="complex">[29]lists!#REF!</definedName>
    <definedName name="Composite_Tax_Rate">[19]Assumptions!$E$31</definedName>
    <definedName name="Controls">[30]Controls!$A$3:$I$130</definedName>
    <definedName name="CONVERT_IT">#REF!</definedName>
    <definedName name="CONVERT_RTN">#REF!</definedName>
    <definedName name="COUNTER">'[4]Macro Tables'!$C$21</definedName>
    <definedName name="credit_rate">[4]Print!$I$18</definedName>
    <definedName name="CREDIT1">'[31]One Year Credit Facility (2 (3)'!$A$23:$D$34</definedName>
    <definedName name="creditsummary">[4]Model!$A$180:$E$201</definedName>
    <definedName name="CUR_QRES">[4]Sens_QRE_Factor!$I$8:$R$98</definedName>
    <definedName name="CUR_QRES0.75">'[4]QRE Charts'!$E$367</definedName>
    <definedName name="CUR_QRES0.80">'[4]QRE Charts'!$F$367</definedName>
    <definedName name="CUR_QRES0.85">'[4]QRE Charts'!$G$367</definedName>
    <definedName name="CUR_QRES0.90">'[4]QRE Charts'!$H$367</definedName>
    <definedName name="CUR_QRES0.95">'[4]QRE Charts'!$I$367</definedName>
    <definedName name="CUR_QRES1.00">'[4]QRE Charts'!$J$367</definedName>
    <definedName name="CUR_QRES1.05">'[4]QRE Charts'!$K$367</definedName>
    <definedName name="CUR_QRES1.10">'[4]QRE Charts'!$L$367</definedName>
    <definedName name="CUR_QRES1.15">'[4]QRE Charts'!$M$367</definedName>
    <definedName name="CUR_QRES1.20">'[4]QRE Charts'!$N$367</definedName>
    <definedName name="CUR_QRES1.25">'[4]QRE Charts'!$O$367</definedName>
    <definedName name="CUR_SENS_FACT">#REF!</definedName>
    <definedName name="CURRENT_MESSAGE">#REF!</definedName>
    <definedName name="CurrentEndDate">[22]SETUP!#REF!</definedName>
    <definedName name="CurrPeriod">[32]Tables!$H$4</definedName>
    <definedName name="Curve_Date">[17]Assumptions!#REF!</definedName>
    <definedName name="cvxvvdxzv">'[8]2005 CapEx (By VP By Dept) Budg'!$A$3:$P$431</definedName>
    <definedName name="CYDR">'[33]change07 by plan'!$D$28</definedName>
    <definedName name="d" hidden="1">{#N/A,#N/A,TRUE,"TAXPROV";#N/A,#N/A,TRUE,"FLOWTHRU";#N/A,#N/A,TRUE,"SCHEDULE M'S";#N/A,#N/A,TRUE,"PLANT M'S";#N/A,#N/A,TRUE,"TAXJE"}</definedName>
    <definedName name="dadasdad">'[8]2005 CapEx (By VP By Dept) Budg'!$A$3:$P$431</definedName>
    <definedName name="dadasdas">#REF!</definedName>
    <definedName name="dafklaf">'[8]2005 CapEx (By VP By Dept) Budg'!$A$3:$P$431</definedName>
    <definedName name="dasdadad">'[8]2005 CapEx (By VP By Dept) Budg'!$A$3:$P$431</definedName>
    <definedName name="DASDD" hidden="1">{#N/A,#N/A,FALSE,"Monthly SAIFI";#N/A,#N/A,FALSE,"Yearly SAIFI";#N/A,#N/A,FALSE,"Monthly CAIDI";#N/A,#N/A,FALSE,"Yearly CAIDI";#N/A,#N/A,FALSE,"Monthly SAIDI";#N/A,#N/A,FALSE,"Yearly SAIDI";#N/A,#N/A,FALSE,"Monthly MAIFI";#N/A,#N/A,FALSE,"Yearly MAIFI";#N/A,#N/A,FALSE,"Monthly Cust &gt;=4 Int"}</definedName>
    <definedName name="dasfasfdsdaf">'[8]2005 CapEx (By VP By Dept) Budg'!$A$3:$P$431</definedName>
    <definedName name="Data">#REF!</definedName>
    <definedName name="Data_Tbl">[26]Data_Tbl!$C$4:$H$221</definedName>
    <definedName name="DATA1">#REF!</definedName>
    <definedName name="DATA10">#REF!</definedName>
    <definedName name="DATA11">#REF!</definedName>
    <definedName name="DATA12">#REF!</definedName>
    <definedName name="DATA13">#REF!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abase2">#REF!</definedName>
    <definedName name="DATAFEEDER">#N/A</definedName>
    <definedName name="DateNumber">[22]SETUP!#REF!</definedName>
    <definedName name="DateNumberCurrentPrior">#REF!</definedName>
    <definedName name="DateNumberQtrPrior">#REF!</definedName>
    <definedName name="DateNumberYearEndPrior">#REF!</definedName>
    <definedName name="DateText">#REF!</definedName>
    <definedName name="dd" hidden="1">{#N/A,#N/A,FALSE,"Monthly SAIFI";#N/A,#N/A,FALSE,"Yearly SAIFI";#N/A,#N/A,FALSE,"Monthly CAIDI";#N/A,#N/A,FALSE,"Yearly CAIDI";#N/A,#N/A,FALSE,"Monthly SAIDI";#N/A,#N/A,FALSE,"Yearly SAIDI";#N/A,#N/A,FALSE,"Monthly MAIFI";#N/A,#N/A,FALSE,"Yearly MAIFI";#N/A,#N/A,FALSE,"Monthly Cust &gt;=4 Int"}</definedName>
    <definedName name="dddd">#REF!</definedName>
    <definedName name="ddfsaf" hidden="1">{#N/A,#N/A,FALSE,"Monthly SAIFI";#N/A,#N/A,FALSE,"Yearly SAIFI";#N/A,#N/A,FALSE,"Monthly CAIDI";#N/A,#N/A,FALSE,"Yearly CAIDI";#N/A,#N/A,FALSE,"Monthly SAIDI";#N/A,#N/A,FALSE,"Yearly SAIDI";#N/A,#N/A,FALSE,"Monthly MAIFI";#N/A,#N/A,FALSE,"Yearly MAIFI";#N/A,#N/A,FALSE,"Monthly Cust &gt;=4 Int"}</definedName>
    <definedName name="ddvsdfsdfsdf">'[8]2005 CapEx (By VP By Dept) Budg'!$A$3:$P$431</definedName>
    <definedName name="de">#REF!</definedName>
    <definedName name="Dec">#REF!</definedName>
    <definedName name="Decommissioning_Rate">#REF!</definedName>
    <definedName name="decpd">#REF!</definedName>
    <definedName name="Deferral_Interest_Rate">[19]Assumptions!$F$7</definedName>
    <definedName name="Deferral_Recovery">'[16]JFJ-1 Deferral Recovery Rate'!$A$15:$I$101</definedName>
    <definedName name="Deferral_Sec_Date">[16]Assumptions!$E$14</definedName>
    <definedName name="DELAWARE">#REF!</definedName>
    <definedName name="deplr">#REF!</definedName>
    <definedName name="DeprateRL">[30]Depr_Lot!$A$1:$S$128</definedName>
    <definedName name="deytd">#REF!</definedName>
    <definedName name="dfasdfsdfZX" hidden="1">{#N/A,#N/A,FALSE,"Monthly SAIFI";#N/A,#N/A,FALSE,"Yearly SAIFI";#N/A,#N/A,FALSE,"Monthly CAIDI";#N/A,#N/A,FALSE,"Yearly CAIDI";#N/A,#N/A,FALSE,"Monthly SAIDI";#N/A,#N/A,FALSE,"Yearly SAIDI";#N/A,#N/A,FALSE,"Monthly MAIFI";#N/A,#N/A,FALSE,"Yearly MAIFI";#N/A,#N/A,FALSE,"Monthly Cust &gt;=4 Int"}</definedName>
    <definedName name="dfd">36787.5547596065</definedName>
    <definedName name="dfdffgdfgd">#REF!</definedName>
    <definedName name="dfdsfs" hidden="1">{#N/A,#N/A,FALSE,"Monthly SAIFI";#N/A,#N/A,FALSE,"Yearly SAIFI";#N/A,#N/A,FALSE,"Monthly CAIDI";#N/A,#N/A,FALSE,"Yearly CAIDI";#N/A,#N/A,FALSE,"Monthly SAIDI";#N/A,#N/A,FALSE,"Yearly SAIDI";#N/A,#N/A,FALSE,"Monthly MAIFI";#N/A,#N/A,FALSE,"Yearly MAIFI";#N/A,#N/A,FALSE,"Monthly Cust &gt;=4 Int"}</definedName>
    <definedName name="dfgdfgh">#REF!</definedName>
    <definedName name="dfgsdgdsfgd">'[8]2005 CapEx (By VP By Dept) Budg'!$A$3:$P$431</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fsasdfasfs">#REF!</definedName>
    <definedName name="dfsdfsf">#REF!</definedName>
    <definedName name="dfsfasfasfs">#REF!</definedName>
    <definedName name="dfssdfsdfsdfsdf">'[8]2005 CapEx (By VP By Dept) Budg'!$A$3:$P$431</definedName>
    <definedName name="Discount10">#REF!</definedName>
    <definedName name="Discount11">#REF!</definedName>
    <definedName name="Discount12">#REF!</definedName>
    <definedName name="Discount13">#REF!</definedName>
    <definedName name="Discount14">#REF!</definedName>
    <definedName name="Discount15">#REF!</definedName>
    <definedName name="Discount2">#REF!</definedName>
    <definedName name="Discount3">#REF!</definedName>
    <definedName name="Discount4">#REF!</definedName>
    <definedName name="Discount5">#REF!</definedName>
    <definedName name="Discount6">#REF!</definedName>
    <definedName name="Discount7">#REF!</definedName>
    <definedName name="Discount8">#REF!</definedName>
    <definedName name="Discount9">#REF!</definedName>
    <definedName name="discrate">#REF!</definedName>
    <definedName name="Distribution_Rate_Adjustment">#REF!</definedName>
    <definedName name="DOIT">[4]Comparison!$CK$11</definedName>
    <definedName name="DP1875TB">#REF!</definedName>
    <definedName name="dpl">#REF!</definedName>
    <definedName name="dplcpd">#REF!</definedName>
    <definedName name="dplplr">#REF!</definedName>
    <definedName name="DPLYTD">#REF!</definedName>
    <definedName name="DR">#REF!</definedName>
    <definedName name="dsfasfsadfsdfsa">'[8]2005 CapEx (By VP By Dept) Budg'!$A$3:$P$431</definedName>
    <definedName name="dskdlss" hidden="1">{#N/A,#N/A,FALSE,"Monthly SAIFI";#N/A,#N/A,FALSE,"Yearly SAIFI";#N/A,#N/A,FALSE,"Monthly CAIDI";#N/A,#N/A,FALSE,"Yearly CAIDI";#N/A,#N/A,FALSE,"Monthly SAIDI";#N/A,#N/A,FALSE,"Yearly SAIDI";#N/A,#N/A,FALSE,"Monthly MAIFI";#N/A,#N/A,FALSE,"Yearly MAIFI";#N/A,#N/A,FALSE,"Monthly Cust &gt;=4 Int"}</definedName>
    <definedName name="DSM_Rate">#REF!</definedName>
    <definedName name="dy">[4]Print!$A$8</definedName>
    <definedName name="dyCR">[4]Print!$G$8</definedName>
    <definedName name="dyqre90">[4]Model!$I$90</definedName>
    <definedName name="dyqre91">[4]Model!$J$94</definedName>
    <definedName name="dyqre92">[4]Model!$K$98</definedName>
    <definedName name="dyqre93">[4]Model!$L$101</definedName>
    <definedName name="dyqre94">[4]Model!$M$105</definedName>
    <definedName name="dyqre95">[4]Model!$N$109</definedName>
    <definedName name="dyqre96">[4]Model!$O$113</definedName>
    <definedName name="dyqre97">[4]Model!$P$119</definedName>
    <definedName name="dyqre98">[4]Model!$Q$123</definedName>
    <definedName name="dyQW">[4]Print!$C$8</definedName>
    <definedName name="dyS">[4]Print!$E$8</definedName>
    <definedName name="E">#REF!</definedName>
    <definedName name="eaewq">#REF!</definedName>
    <definedName name="EASTERN">#REF!</definedName>
    <definedName name="edred" hidden="1">{#N/A,#N/A,FALSE,"Monthly SAIFI";#N/A,#N/A,FALSE,"Yearly SAIFI";#N/A,#N/A,FALSE,"Monthly CAIDI";#N/A,#N/A,FALSE,"Yearly CAIDI";#N/A,#N/A,FALSE,"Monthly SAIDI";#N/A,#N/A,FALSE,"Yearly SAIDI";#N/A,#N/A,FALSE,"Monthly MAIFI";#N/A,#N/A,FALSE,"Yearly MAIFI";#N/A,#N/A,FALSE,"Monthly Cust &gt;=4 Int"}</definedName>
    <definedName name="EED">#REF!</definedName>
    <definedName name="ELEC_CUST">#REF!</definedName>
    <definedName name="ELEC_REV">#REF!</definedName>
    <definedName name="ELEC_SALES">#REF!</definedName>
    <definedName name="empid">#REF!</definedName>
    <definedName name="EPG">#REF!</definedName>
    <definedName name="erser">#REF!</definedName>
    <definedName name="EssOptions">"1100000000130100_11-          00"</definedName>
    <definedName name="Estimated_Fair_Value">"fair_value"</definedName>
    <definedName name="EV__LASTREFTIME__" hidden="1">39853.6878472222</definedName>
    <definedName name="EXPENSES">#REF!</definedName>
    <definedName name="f" hidden="1">{#N/A,#N/A,TRUE,"TAXPROV";#N/A,#N/A,TRUE,"FLOWTHRU";#N/A,#N/A,TRUE,"SCHEDULE M'S";#N/A,#N/A,TRUE,"PLANT M'S";#N/A,#N/A,TRUE,"TAXJE"}</definedName>
    <definedName name="FACTOR_.75">'[4]Macro Tables'!$C$27</definedName>
    <definedName name="FACTOR_.80">'[4]Macro Tables'!$C$28</definedName>
    <definedName name="FACTOR_.85">'[4]Macro Tables'!$C$29</definedName>
    <definedName name="FACTOR_.90">'[4]Macro Tables'!$C$30</definedName>
    <definedName name="FACTOR_.95">'[4]Macro Tables'!$C$31</definedName>
    <definedName name="FACTOR_1">'[4]Macro Tables'!$C$32</definedName>
    <definedName name="FACTOR_1.05">'[4]Macro Tables'!$C$33</definedName>
    <definedName name="FACTOR_1.1">'[4]Macro Tables'!$C$34</definedName>
    <definedName name="FACTOR_1.15">'[4]Macro Tables'!$C$35</definedName>
    <definedName name="FACTOR_1.2">'[4]Macro Tables'!$C$36</definedName>
    <definedName name="FACTOR_1.25">'[4]Macro Tables'!$C$37</definedName>
    <definedName name="FACTOR_NAME">'[4]Macro Tables'!$C$22</definedName>
    <definedName name="FACTOR_TABLE">'[4]Macro Tables'!$B$27:$C$37</definedName>
    <definedName name="FACTOR_VALUE">'[4]Macro Tables'!$C$23</definedName>
    <definedName name="fafasfasf">#REF!</definedName>
    <definedName name="fair_value">[34]Assumptions!$B$14</definedName>
    <definedName name="fasdfsadf">'[8]2005 CapEx (By VP By Dept) Budg'!$A$3:$P$431</definedName>
    <definedName name="fasfsafasf">#REF!</definedName>
    <definedName name="fasfsdf">#REF!</definedName>
    <definedName name="fasfsfsdfsf">'[8]2005 CapEx (By VP By Dept) Budg'!$A$3:$P$431</definedName>
    <definedName name="FB_CUSTOMERS">#REF!</definedName>
    <definedName name="FB_LINES">#REF!</definedName>
    <definedName name="fdfsdfsdfsdfsdfsd">'[8]2005 CapEx (By VP By Dept) Budg'!$A$3:$P$431</definedName>
    <definedName name="FDSDFSF" hidden="1">{#N/A,#N/A,FALSE,"Monthly SAIFI";#N/A,#N/A,FALSE,"Yearly SAIFI";#N/A,#N/A,FALSE,"Monthly CAIDI";#N/A,#N/A,FALSE,"Yearly CAIDI";#N/A,#N/A,FALSE,"Monthly SAIDI";#N/A,#N/A,FALSE,"Yearly SAIDI";#N/A,#N/A,FALSE,"Monthly MAIFI";#N/A,#N/A,FALSE,"Yearly MAIFI";#N/A,#N/A,FALSE,"Monthly Cust &gt;=4 Int"}</definedName>
    <definedName name="fdsfafs">#REF!</definedName>
    <definedName name="Feb">#REF!</definedName>
    <definedName name="Federal_Tax_Rate">[16]Assumptions!$E$28</definedName>
    <definedName name="FERC.ICC">#REF!</definedName>
    <definedName name="ff" hidden="1">{#N/A,#N/A,FALSE,"Monthly SAIFI";#N/A,#N/A,FALSE,"Yearly SAIFI";#N/A,#N/A,FALSE,"Monthly CAIDI";#N/A,#N/A,FALSE,"Yearly CAIDI";#N/A,#N/A,FALSE,"Monthly SAIDI";#N/A,#N/A,FALSE,"Yearly SAIDI";#N/A,#N/A,FALSE,"Monthly MAIFI";#N/A,#N/A,FALSE,"Yearly MAIFI";#N/A,#N/A,FALSE,"Monthly Cust &gt;=4 Int"}</definedName>
    <definedName name="fff" hidden="1">{#N/A,#N/A,FALSE,"Monthly SAIFI";#N/A,#N/A,FALSE,"Yearly SAIFI";#N/A,#N/A,FALSE,"Monthly CAIDI";#N/A,#N/A,FALSE,"Yearly CAIDI";#N/A,#N/A,FALSE,"Monthly SAIDI";#N/A,#N/A,FALSE,"Yearly SAIDI";#N/A,#N/A,FALSE,"Monthly MAIFI";#N/A,#N/A,FALSE,"Yearly MAIFI";#N/A,#N/A,FALSE,"Monthly Cust &gt;=4 Int"}</definedName>
    <definedName name="ffff">'[8]2005 CapEx (By VP By Dept) Budg'!$A$3:$P$431</definedName>
    <definedName name="fghjghjfgjf" hidden="1">{#N/A,#N/A,FALSE,"Monthly SAIFI";#N/A,#N/A,FALSE,"Yearly SAIFI";#N/A,#N/A,FALSE,"Monthly CAIDI";#N/A,#N/A,FALSE,"Yearly CAIDI";#N/A,#N/A,FALSE,"Monthly SAIDI";#N/A,#N/A,FALSE,"Yearly SAIDI";#N/A,#N/A,FALSE,"Monthly MAIFI";#N/A,#N/A,FALSE,"Yearly MAIFI";#N/A,#N/A,FALSE,"Monthly Cust &gt;=4 Int"}</definedName>
    <definedName name="fgsdfgdfgdfhdhdf">'[8]2005 CapEx (By VP By Dept) Budg'!$A$3:$P$431</definedName>
    <definedName name="final">#REF!</definedName>
    <definedName name="Finance3">'[11]all EED O&amp;M BO data'!$AF$2:$AF$5000</definedName>
    <definedName name="FinanceOther">'[11]all EED O&amp;M BO data'!$AC$2:$AC$5000</definedName>
    <definedName name="FinDate">#REF!</definedName>
    <definedName name="findate2">[5]Sheet2!$Q$2:$Q$17</definedName>
    <definedName name="findate3">[5]Sheet2!$Q$2:$Q$17</definedName>
    <definedName name="fjriesmd">#REF!</definedName>
    <definedName name="fnklsdfjklsgf">'[8]2005 CapEx (By VP By Dept) Budg'!$A$3:$P$431</definedName>
    <definedName name="Forecast">[13]Update!$B$5</definedName>
    <definedName name="FORMULA">#REF!+#REF!+#REF!</definedName>
    <definedName name="Fossil_BGS">[20]Assumptions!$E$38</definedName>
    <definedName name="Fossil_Divest">[19]Assumptions!#REF!</definedName>
    <definedName name="Fossil_Secur_Date">[16]Assumptions!$E$12</definedName>
    <definedName name="fsafsfsaf">#REF!</definedName>
    <definedName name="fsdafasf" hidden="1">{#N/A,#N/A,FALSE,"Monthly SAIFI";#N/A,#N/A,FALSE,"Yearly SAIFI";#N/A,#N/A,FALSE,"Monthly CAIDI";#N/A,#N/A,FALSE,"Yearly CAIDI";#N/A,#N/A,FALSE,"Monthly SAIDI";#N/A,#N/A,FALSE,"Yearly SAIDI";#N/A,#N/A,FALSE,"Monthly MAIFI";#N/A,#N/A,FALSE,"Yearly MAIFI";#N/A,#N/A,FALSE,"Monthly Cust &gt;=4 Int"}</definedName>
    <definedName name="fsdf">#REF!</definedName>
    <definedName name="fsdfaf">#REF!</definedName>
    <definedName name="fsdfas">#REF!</definedName>
    <definedName name="fsdfsd">#REF!</definedName>
    <definedName name="fsdfsdfas">#REF!</definedName>
    <definedName name="fsdfsdfsfs">#REF!</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dfsfsf">#REF!</definedName>
    <definedName name="fsdfwer">#REF!</definedName>
    <definedName name="fsfsafkskfsf">#REF!</definedName>
    <definedName name="fsfsafs">#REF!</definedName>
    <definedName name="fsfsdfsafs">'[8]2005 CapEx (By VP By Dept) Budg'!$A$3:$P$431</definedName>
    <definedName name="fsfsfsafasf" hidden="1">{#N/A,#N/A,FALSE,"Monthly SAIFI";#N/A,#N/A,FALSE,"Yearly SAIFI";#N/A,#N/A,FALSE,"Monthly CAIDI";#N/A,#N/A,FALSE,"Yearly CAIDI";#N/A,#N/A,FALSE,"Monthly SAIDI";#N/A,#N/A,FALSE,"Yearly SAIDI";#N/A,#N/A,FALSE,"Monthly MAIFI";#N/A,#N/A,FALSE,"Yearly MAIFI";#N/A,#N/A,FALSE,"Monthly Cust &gt;=4 Int"}</definedName>
    <definedName name="full_credit">[4]Print!$I$20</definedName>
    <definedName name="FunctionTotals">[30]Controls!$P$4:$R$8</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FY4D">#REF!</definedName>
    <definedName name="g" hidden="1">{#N/A,#N/A,FALSE,"O&amp;M by processes";#N/A,#N/A,FALSE,"Elec Act vs Bud";#N/A,#N/A,FALSE,"G&amp;A";#N/A,#N/A,FALSE,"BGS";#N/A,#N/A,FALSE,"Res Cost"}</definedName>
    <definedName name="GAM83M">#REF!</definedName>
    <definedName name="gas">#REF!</definedName>
    <definedName name="gasytd">#REF!</definedName>
    <definedName name="gatt">[35]TPACT!$B$5:$B$141</definedName>
    <definedName name="gattmale">[35]TPACT!$B$146:$B$282</definedName>
    <definedName name="gdfgdgdg">#REF!</definedName>
    <definedName name="gdfgsdfgsdfgsadf">'[8]2005 CapEx (By VP By Dept) Budg'!$A$3:$P$431</definedName>
    <definedName name="GENERAL_HELP">#REF!</definedName>
    <definedName name="gfdfxdf">'[8]2005 CapEx (By VP By Dept) Budg'!$A$3:$P$431</definedName>
    <definedName name="gfdsgsdgfsd">'[8]2005 CapEx (By VP By Dept) Budg'!$A$3:$P$431</definedName>
    <definedName name="gfhfhfdhg">#REF!</definedName>
    <definedName name="gg" hidden="1">{#N/A,#N/A,FALSE,"O&amp;M by processes";#N/A,#N/A,FALSE,"Elec Act vs Bud";#N/A,#N/A,FALSE,"G&amp;A";#N/A,#N/A,FALSE,"BGS";#N/A,#N/A,FALSE,"Res Cost"}</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oaway" hidden="1">{#N/A,#N/A,TRUE,"TAXPROV";#N/A,#N/A,TRUE,"FLOWTHRU";#N/A,#N/A,TRUE,"SCHEDULE M'S";#N/A,#N/A,TRUE,"PLANT M'S";#N/A,#N/A,TRUE,"TAXJE"}</definedName>
    <definedName name="GPURS">#REF!</definedName>
    <definedName name="GR_PRT_RANGE">[4]Gross_Rec!$A$8:$R$52</definedName>
    <definedName name="GRAPH_SELECT">#REF!</definedName>
    <definedName name="GRAPH_TABLE">#REF!</definedName>
    <definedName name="grec8490">[4]Model!$I$50</definedName>
    <definedName name="grec8491">[4]Model!$J$50</definedName>
    <definedName name="grec8492">[4]Model!$K$50</definedName>
    <definedName name="grec8493">[4]Model!$L$50</definedName>
    <definedName name="grec8494">[4]Model!$M$50</definedName>
    <definedName name="grec8495">[4]Model!$N$50</definedName>
    <definedName name="grec8496">[4]Model!$O$50</definedName>
    <definedName name="grec8497">[4]Model!$P$50</definedName>
    <definedName name="grec8498">[4]Model!$Q$50</definedName>
    <definedName name="grec8590">[4]Model!$I$51</definedName>
    <definedName name="grec8591">[4]Model!$J$51</definedName>
    <definedName name="grec8592">[4]Model!$K$51</definedName>
    <definedName name="grec8593">[4]Model!$L$51</definedName>
    <definedName name="grec8594">[4]Model!$M$51</definedName>
    <definedName name="grec8595">[4]Model!$N$51</definedName>
    <definedName name="grec8596">[4]Model!$O$51</definedName>
    <definedName name="grec8597">[4]Model!$P$51</definedName>
    <definedName name="grec8598">[4]Model!$Q$51</definedName>
    <definedName name="grec8690">[4]Model!$I$52</definedName>
    <definedName name="grec8691">[4]Model!$J$52</definedName>
    <definedName name="grec8692">[4]Model!$K$52</definedName>
    <definedName name="grec8693">[4]Model!$L$52</definedName>
    <definedName name="grec8694">[4]Model!$M$52</definedName>
    <definedName name="grec8695">[4]Model!$N$52</definedName>
    <definedName name="grec8696">[4]Model!$O$52</definedName>
    <definedName name="grec8697">[4]Model!$P$52</definedName>
    <definedName name="grec8698">[4]Model!$Q$52</definedName>
    <definedName name="grec8790">[4]Model!$I$53</definedName>
    <definedName name="grec8791">[4]Model!$J$53</definedName>
    <definedName name="grec8792">[4]Model!$K$53</definedName>
    <definedName name="grec8793">[4]Model!$L$53</definedName>
    <definedName name="grec8794">[4]Model!$M$53</definedName>
    <definedName name="grec8795">[4]Model!$N$53</definedName>
    <definedName name="grec8796">[4]Model!$O$53</definedName>
    <definedName name="grec8797">[4]Model!$P$53</definedName>
    <definedName name="grec8798">[4]Model!$Q$53</definedName>
    <definedName name="grec8890">[4]Model!$I$54</definedName>
    <definedName name="grec8891">[4]Model!$J$54</definedName>
    <definedName name="grec8892">[4]Model!$K$54</definedName>
    <definedName name="grec8893">[4]Model!$L$54</definedName>
    <definedName name="grec8894">[4]Model!$M$54</definedName>
    <definedName name="grec8895">[4]Model!$N$54</definedName>
    <definedName name="grec8896">[4]Model!$O$54</definedName>
    <definedName name="grec8897">[4]Model!$P$54</definedName>
    <definedName name="grec8898">[4]Model!$Q$54</definedName>
    <definedName name="gross_rec_caution">[4]Gross_Rec!$A$51:$IV$52</definedName>
    <definedName name="GRS">[4]Gross_Rec!$B$2:$M$49</definedName>
    <definedName name="grtm1">[4]Print!$I$32</definedName>
    <definedName name="grtm2">[4]Print!$G$32</definedName>
    <definedName name="grtm3">[4]Print!$E$32</definedName>
    <definedName name="grtm4">[4]Print!$C$32</definedName>
    <definedName name="GVKey">""</definedName>
    <definedName name="h" hidden="1">{#N/A,#N/A,FALSE,"Monthly SAIFI";#N/A,#N/A,FALSE,"Yearly SAIFI";#N/A,#N/A,FALSE,"Monthly CAIDI";#N/A,#N/A,FALSE,"Yearly CAIDI";#N/A,#N/A,FALSE,"Monthly SAIDI";#N/A,#N/A,FALSE,"Yearly SAIDI";#N/A,#N/A,FALSE,"Monthly MAIFI";#N/A,#N/A,FALSE,"Yearly MAIFI";#N/A,#N/A,FALSE,"Monthly Cust &gt;=4 Int"}</definedName>
    <definedName name="HELP_LOCATOR">#REF!</definedName>
    <definedName name="hh" hidden="1">{#N/A,#N/A,FALSE,"Monthly SAIFI";#N/A,#N/A,FALSE,"Yearly SAIFI";#N/A,#N/A,FALSE,"Monthly CAIDI";#N/A,#N/A,FALSE,"Yearly CAIDI";#N/A,#N/A,FALSE,"Monthly SAIDI";#N/A,#N/A,FALSE,"Yearly SAIDI";#N/A,#N/A,FALSE,"Monthly MAIFI";#N/A,#N/A,FALSE,"Yearly MAIFI";#N/A,#N/A,FALSE,"Monthly Cust &gt;=4 Int"}</definedName>
    <definedName name="hhifgfcgfcg">#REF!</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IDN">#REF!</definedName>
    <definedName name="ImplementDate">#REF!</definedName>
    <definedName name="Include_OTRA_Kwhrs">[36]Inputs!#REF!</definedName>
    <definedName name="INCOME">#REF!</definedName>
    <definedName name="INSERTRANGE">#REF!</definedName>
    <definedName name="Instrat3">[5]Sheet2!$P$1:$P$4</definedName>
    <definedName name="int.rate">#REF!</definedName>
    <definedName name="interest">#REF!</definedName>
    <definedName name="interestrate">#REF!</definedName>
    <definedName name="INTSALE">#REF!</definedName>
    <definedName name="invdtrat">[5]Sheet2!$P$1:$P$4</definedName>
    <definedName name="InvStrat">[37]Sheet2!$P$1:$P$4</definedName>
    <definedName name="InvStratif">#REF!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"XLL"</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39420.5644328704</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SCM">#REF!</definedName>
    <definedName name="ISTITLE">#REF!</definedName>
    <definedName name="ISYTD">#REF!</definedName>
    <definedName name="IT">#REF!</definedName>
    <definedName name="IT_VP_name">#REF!</definedName>
    <definedName name="ITBU">#REF!</definedName>
    <definedName name="ITVP1">[38]Sheet2!$O$1:$O$6</definedName>
    <definedName name="ITVP2">[5]Sheet2!$O$1:$O$6</definedName>
    <definedName name="itvp5">[5]Sheet2!$O$1:$O$6</definedName>
    <definedName name="Jan_03">#REF!</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hyfesg">'[8]2005 CapEx (By VP By Dept) Budg'!$A$3:$P$431</definedName>
    <definedName name="John" hidden="1">{#N/A,#N/A,FALSE,"Monthly SAIFI";#N/A,#N/A,FALSE,"Yearly SAIFI";#N/A,#N/A,FALSE,"Monthly CAIDI";#N/A,#N/A,FALSE,"Yearly CAIDI";#N/A,#N/A,FALSE,"Monthly SAIDI";#N/A,#N/A,FALSE,"Yearly SAIDI";#N/A,#N/A,FALSE,"Monthly MAIFI";#N/A,#N/A,FALSE,"Yearly MAIFI";#N/A,#N/A,FALSE,"Monthly Cust &gt;=4 Int"}</definedName>
    <definedName name="Jul">#REF!</definedName>
    <definedName name="Jun">#REF!</definedName>
    <definedName name="k" hidden="1">{#N/A,#N/A,FALSE,"Monthly SAIFI";#N/A,#N/A,FALSE,"Yearly SAIFI";#N/A,#N/A,FALSE,"Monthly CAIDI";#N/A,#N/A,FALSE,"Yearly CAIDI";#N/A,#N/A,FALSE,"Monthly SAIDI";#N/A,#N/A,FALSE,"Yearly SAIDI";#N/A,#N/A,FALSE,"Monthly MAIFI";#N/A,#N/A,FALSE,"Yearly MAIFI";#N/A,#N/A,FALSE,"Monthly Cust &gt;=4 Int"}</definedName>
    <definedName name="K_kWh">#REF!</definedName>
    <definedName name="K1_AdminCredit_1of3">#REF!</definedName>
    <definedName name="K10_TransmissionCalculated">#REF!</definedName>
    <definedName name="K2_AdminCredit_2of3">#REF!</definedName>
    <definedName name="K3_AdminCredit_3of3">#REF!</definedName>
    <definedName name="K4_AdminCreditCalculated">#REF!</definedName>
    <definedName name="K5_Return">#REF!</definedName>
    <definedName name="K6_ProcurementCost_Suppliers">#REF!</definedName>
    <definedName name="K7_IncProcurementCost_Supplier">#REF!</definedName>
    <definedName name="K8_IncGenerationRevenue">#REF!</definedName>
    <definedName name="K9_Transmission">#REF!</definedName>
    <definedName name="ket_it">[5]Sheet2!$AE$1:$AE$24</definedName>
    <definedName name="Key_Stakeholder_Interface">#REF!</definedName>
    <definedName name="KeyCon_Close_Date">[16]Assumptions!$E$17</definedName>
    <definedName name="KeyE1" hidden="1">#REF!</definedName>
    <definedName name="kk" hidden="1">{#N/A,#N/A,FALSE,"Monthly SAIFI";#N/A,#N/A,FALSE,"Yearly SAIFI";#N/A,#N/A,FALSE,"Monthly CAIDI";#N/A,#N/A,FALSE,"Yearly CAIDI";#N/A,#N/A,FALSE,"Monthly SAIDI";#N/A,#N/A,FALSE,"Yearly SAIDI";#N/A,#N/A,FALSE,"Monthly MAIFI";#N/A,#N/A,FALSE,"Yearly MAIFI";#N/A,#N/A,FALSE,"Monthly Cust &gt;=4 Int"}</definedName>
    <definedName name="kkk" hidden="1">{#N/A,#N/A,FALSE,"Monthly SAIFI";#N/A,#N/A,FALSE,"Yearly SAIFI";#N/A,#N/A,FALSE,"Monthly CAIDI";#N/A,#N/A,FALSE,"Yearly CAIDI";#N/A,#N/A,FALSE,"Monthly SAIDI";#N/A,#N/A,FALSE,"Yearly SAIDI";#N/A,#N/A,FALSE,"Monthly MAIFI";#N/A,#N/A,FALSE,"Yearly MAIFI";#N/A,#N/A,FALSE,"Monthly Cust &gt;=4 Int"}</definedName>
    <definedName name="KWH">'[39]UNBILLED KWH'!$A$1:$H$54</definedName>
    <definedName name="lastrow">'[4]QRE''s'!$A$95:$IV$95</definedName>
    <definedName name="limcount" hidden="1">1</definedName>
    <definedName name="Line_No.">#REF!</definedName>
    <definedName name="LMP">'[20]2002 - 2007 BGS FP Costs'!$B$150:$Q$245</definedName>
    <definedName name="LOAD_EST_PE">'[40]Load Estimates'!$A$2:$E$1006</definedName>
    <definedName name="LOAD_EST_PECCES">'[41]Load Estimates'!$O$1:$S$1000</definedName>
    <definedName name="LOAD_EST_PENYPA">'[42]Load Estimates'!$Z$1:$AC$1002</definedName>
    <definedName name="LOAD_EST_PERESH">'[43]Load Estimates'!$F$2:$I$1005</definedName>
    <definedName name="loilpuioopy" hidden="1">{#N/A,#N/A,FALSE,"Monthly SAIFI";#N/A,#N/A,FALSE,"Yearly SAIFI";#N/A,#N/A,FALSE,"Monthly CAIDI";#N/A,#N/A,FALSE,"Yearly CAIDI";#N/A,#N/A,FALSE,"Monthly SAIDI";#N/A,#N/A,FALSE,"Yearly SAIDI";#N/A,#N/A,FALSE,"Monthly MAIFI";#N/A,#N/A,FALSE,"Yearly MAIFI";#N/A,#N/A,FALSE,"Monthly Cust &gt;=4 Int"}</definedName>
    <definedName name="LONGBUDESCR">#REF!</definedName>
    <definedName name="LOOP_1">#REF!</definedName>
    <definedName name="LOOP_2">#REF!</definedName>
    <definedName name="LOOP_3">#REF!</definedName>
    <definedName name="LRP_Data">#REF!</definedName>
    <definedName name="lsdfj"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Macro3">#REF!</definedName>
    <definedName name="Macro4">#REF!</definedName>
    <definedName name="Macro5">#REF!</definedName>
    <definedName name="MACROS">#REF!</definedName>
    <definedName name="Mar">#REF!</definedName>
    <definedName name="March_02">#REF!</definedName>
    <definedName name="May">#REF!</definedName>
    <definedName name="md">#REF!</definedName>
    <definedName name="mdcpd">#REF!</definedName>
    <definedName name="mdplr">'[44]DE PLR'!#REF!</definedName>
    <definedName name="mdytd">#REF!</definedName>
    <definedName name="Meet_Cost_Commitments">#REF!</definedName>
    <definedName name="Meet_Production_Commitments">#REF!</definedName>
    <definedName name="mgmfeparg">'[8]2005 CapEx (By VP By Dept) Budg'!$A$3:$P$431</definedName>
    <definedName name="MILESTONES_1">#REF!</definedName>
    <definedName name="MILESTONES_2">#REF!</definedName>
    <definedName name="modelgrheader">[4]Model!$A$3</definedName>
    <definedName name="modelqreheader">[4]Model!$A$78</definedName>
    <definedName name="MonAct">'[11]all EED O&amp;M BO data'!$E$2:$E$5000</definedName>
    <definedName name="MonBudVar">'[11]all EED O&amp;M BO data'!$H$2:$H$5000</definedName>
    <definedName name="MonQtrVar">'[11]all EED O&amp;M BO data'!$I$2:$I$5000</definedName>
    <definedName name="MONTH">#REF!</definedName>
    <definedName name="month1">'[45]Monthly Bill Data'!$AC$49:$AO$102</definedName>
    <definedName name="MonthlyCFBUD">#REF!</definedName>
    <definedName name="MonthlyCFLE">#REF!</definedName>
    <definedName name="MTC">'[19]MTC Deferral'!$P$6:$CI$169</definedName>
    <definedName name="MTC_Type">#REF!</definedName>
    <definedName name="NDCA">#REF!</definedName>
    <definedName name="New">#REF!</definedName>
    <definedName name="new_98_IS">#REF!,#REF!,#REF!</definedName>
    <definedName name="New_99_IS">'[46]2nd qtr 2000'!$A$1:$I$58,'[46]2nd qtr 2000'!$K$1:$T$58,'[46]2nd qtr 2000'!$V$1:$AI$58</definedName>
    <definedName name="New_BS">#REF!,#REF!,#REF!</definedName>
    <definedName name="NEXT_STEP">[4]Comparison!$CK$14</definedName>
    <definedName name="nono" hidden="1">{#N/A,#N/A,FALSE,"O&amp;M by processes";#N/A,#N/A,FALSE,"Elec Act vs Bud";#N/A,#N/A,FALSE,"G&amp;A";#N/A,#N/A,FALSE,"BGS";#N/A,#N/A,FALSE,"Res Cost"}</definedName>
    <definedName name="NORTHEAST">#REF!</definedName>
    <definedName name="NORTHWEST">#REF!</definedName>
    <definedName name="Nov">#REF!</definedName>
    <definedName name="Nuclear">#REF!</definedName>
    <definedName name="NUGS">'[19]NNC Deferral'!$AD$7:$CW$42</definedName>
    <definedName name="NvsASD">"V2001-08-31"</definedName>
    <definedName name="NvsAutoDrillOk">"VN"</definedName>
    <definedName name="NvsElapsedTime">0.0000724537021596916</definedName>
    <definedName name="NvsEndTime">36817.4223792824</definedName>
    <definedName name="NvsInstSpec">"%,LACTUALS,SBAL,R,FACCOUNT,V275900,FBUSINESS_UNIT,V10200"</definedName>
    <definedName name="NvsLayoutType">"M3"</definedName>
    <definedName name="NvsNplSpec">"%,XZF.ACCOUNT.PSDetail"</definedName>
    <definedName name="NvsPanelEffdt">"V1995-01-01"</definedName>
    <definedName name="NvsPanelSetid">"VMFG"</definedName>
    <definedName name="NvsParentRef">[47]Sheet1!$E$266</definedName>
    <definedName name="NvsReqBU">"V10200"</definedName>
    <definedName name="NvsReqBUOnly">"VN"</definedName>
    <definedName name="NvsTransLed">"VN"</definedName>
    <definedName name="NvsTreeASD">"V2001-08-31"</definedName>
    <definedName name="NvsValTbl.ACCOUNT">"GL_ACCOUNT_TBL"</definedName>
    <definedName name="NvsValTbl.BUSINESS_UNIT">"BUS_UNIT_TBL_GL"</definedName>
    <definedName name="NvsValTbl.CURRENCY_CD">"CURRENCY_CD_TBL"</definedName>
    <definedName name="OBRADR">#REF!</definedName>
    <definedName name="Oct">#REF!</definedName>
    <definedName name="OMA">'[24]ACT O M'!$D$7:$T$32</definedName>
    <definedName name="OMB">'[24]BUD O M'!$D$7:$O$32</definedName>
    <definedName name="one">#REF!,#REF!,#REF!</definedName>
    <definedName name="ONM">#REF!</definedName>
    <definedName name="Operational_Excellence_">#REF!</definedName>
    <definedName name="Operational_Execution_And_Safety">#REF!</definedName>
    <definedName name="OPR">'[10]PECO Bal Sht'!#REF!</definedName>
    <definedName name="PAGE1">#REF!</definedName>
    <definedName name="PAGE2">#REF!</definedName>
    <definedName name="PAGE3">#REF!</definedName>
    <definedName name="PAGE4">#REF!</definedName>
    <definedName name="PAGE5">#REF!</definedName>
    <definedName name="PAGE6">#REF!</definedName>
    <definedName name="PAGE7">#REF!</definedName>
    <definedName name="PAGE8">#REF!</definedName>
    <definedName name="PAGEA">#REF!</definedName>
    <definedName name="PAGEC">#REF!</definedName>
    <definedName name="PAGEE">#REF!</definedName>
    <definedName name="pe">[4]Print!$A$2</definedName>
    <definedName name="PECO_LABS_FUELS_ALL">#REF!</definedName>
    <definedName name="peco1">'[8]2005 CapEx (By VP By Dept) Budg'!$A$3:$P$382</definedName>
    <definedName name="peco2">'[8]2005 CapEx (By VP By Dept) Budg'!$A$3:$P$382</definedName>
    <definedName name="pecobod45">'[8]2005 CapEx (By VP By Dept) Budg'!$A$3:$P$383</definedName>
    <definedName name="pecomfr3">'[8]2005 CapEx (By VP By Dept) Budg'!$A$3:$P$382</definedName>
    <definedName name="pension">#REF!</definedName>
    <definedName name="PER">#REF!</definedName>
    <definedName name="Perf_Ratings">'[48]Perf Ratings'!$A$8:$IV$18</definedName>
    <definedName name="PGCOUNT">'[10]PECO Bal Sht'!#REF!</definedName>
    <definedName name="pgm_pri1">[5]Sheet2!$AF$1:$AF$3</definedName>
    <definedName name="Phase">'[4]Macro Tables'!$F$21</definedName>
    <definedName name="PHASE_HELP">#REF!</definedName>
    <definedName name="PLACE_HOLD">#REF!</definedName>
    <definedName name="PostTransReturn">[20]Assumptions!$D$58</definedName>
    <definedName name="POTOMAC_ELECTRIC_POWER_COMPANY">#REF!</definedName>
    <definedName name="PowerTeam">#REF!</definedName>
    <definedName name="PPACOST">'[17]BGS Deferral'!#REF!</definedName>
    <definedName name="PreTaxDebt">[16]Assumptions!$F$60</definedName>
    <definedName name="Pri">#REF!</definedName>
    <definedName name="Print_98_IS">#REF!,#REF!,#REF!</definedName>
    <definedName name="Print_99_IS">'[46]2nd qtr 2000'!$D$1:$I$58,'[46]2nd qtr 2000'!$N$1:$T$58,'[46]2nd qtr 2000'!$AA$1:$AH$57</definedName>
    <definedName name="_xlnm.Print_Area">#REF!</definedName>
    <definedName name="Print_Area_MI">#REF!</definedName>
    <definedName name="print_area03">#REF!</definedName>
    <definedName name="Print_Area1">#REF!</definedName>
    <definedName name="Print_BS">#REF!,#REF!,#REF!</definedName>
    <definedName name="PRINT_SET_UP">#REF!</definedName>
    <definedName name="Print_TFI_use">'[49]TFI use'!$A$1:$P$40,'[49]TFI use'!$A$42:$P$65,'[49]TFI use'!$A$67:$R$84</definedName>
    <definedName name="_xlnm.Print_Titles">#N/A</definedName>
    <definedName name="Prior">#REF!</definedName>
    <definedName name="PriorQTREnd">[22]SETUP!#REF!</definedName>
    <definedName name="Profitability_">#REF!</definedName>
    <definedName name="PRT_COMPARE">#REF!</definedName>
    <definedName name="PRT_GR">#REF!</definedName>
    <definedName name="PRT_GRAPH_RTN">#REF!</definedName>
    <definedName name="PRT_GRAPHS">#REF!</definedName>
    <definedName name="PRT_GRAPHS?">#REF!</definedName>
    <definedName name="PRT_GRPH_1">#REF!</definedName>
    <definedName name="PRT_GRPH_10">#REF!</definedName>
    <definedName name="PRT_GRPH_11">#REF!</definedName>
    <definedName name="PRT_GRPH_12">#REF!</definedName>
    <definedName name="PRT_GRPH_2">#REF!</definedName>
    <definedName name="PRT_GRPH_3">#REF!</definedName>
    <definedName name="PRT_GRPH_4">#REF!</definedName>
    <definedName name="PRT_GRPH_5">#REF!</definedName>
    <definedName name="PRT_GRPH_6">#REF!</definedName>
    <definedName name="PRT_GRPH_7">#REF!</definedName>
    <definedName name="PRT_GRPH_8">#REF!</definedName>
    <definedName name="PRT_GRPH_9">#REF!</definedName>
    <definedName name="PRT_MODEL">#REF!</definedName>
    <definedName name="PRT_QRES">#REF!</definedName>
    <definedName name="PRT_REPORT_RTN">#REF!</definedName>
    <definedName name="PRT_REPORTS">#REF!</definedName>
    <definedName name="PRT_REPORTS?">#REF!</definedName>
    <definedName name="PRT_RESET">#REF!</definedName>
    <definedName name="PY_ytd">[9]Administrator!$I$60</definedName>
    <definedName name="pymonth">[22]SETUP!$C$26</definedName>
    <definedName name="q">#REF!</definedName>
    <definedName name="QES">'[4]Gross_Rec:QRE''s'!$B$53:$N$112</definedName>
    <definedName name="qre">'[50]IDR 15'!$A$1:$H$214</definedName>
    <definedName name="QRE_HELP">#REF!</definedName>
    <definedName name="QRE_MARGINS">#REF!</definedName>
    <definedName name="QRE_SUMMARY">'[4]QRE''s'!$A$7:$R$102</definedName>
    <definedName name="qsqe">#REF!</definedName>
    <definedName name="QuarterEndDate">[22]SETUP!#REF!</definedName>
    <definedName name="Range1">'[31]One Year Credit Facility'!$A$23:$D$34</definedName>
    <definedName name="Range10">#REF!</definedName>
    <definedName name="Range11">#REF!</definedName>
    <definedName name="Range12">#REF!</definedName>
    <definedName name="Range13">#REF!</definedName>
    <definedName name="Range14">#REF!</definedName>
    <definedName name="Range15">#REF!</definedName>
    <definedName name="Range16">#REF!</definedName>
    <definedName name="Range17">#REF!</definedName>
    <definedName name="Range18">#REF!</definedName>
    <definedName name="Range19">#REF!</definedName>
    <definedName name="Range2">#REF!</definedName>
    <definedName name="Range20">#REF!</definedName>
    <definedName name="Range21">#REF!</definedName>
    <definedName name="Range22">#REF!</definedName>
    <definedName name="Range23">#REF!</definedName>
    <definedName name="Range24">#REF!</definedName>
    <definedName name="Range25">#REF!</definedName>
    <definedName name="Range26">#REF!</definedName>
    <definedName name="Range27">#REF!</definedName>
    <definedName name="Range28">#REF!</definedName>
    <definedName name="Range29">#REF!</definedName>
    <definedName name="Range3">'[31]Three Year Credit Facility'!$A$22:$D$57</definedName>
    <definedName name="Range30">#REF!</definedName>
    <definedName name="Range31">#REF!</definedName>
    <definedName name="Range32">#REF!</definedName>
    <definedName name="Range33">#REF!</definedName>
    <definedName name="Range34">#REF!</definedName>
    <definedName name="Range35">#REF!</definedName>
    <definedName name="Range36">#REF!</definedName>
    <definedName name="Range37">#REF!</definedName>
    <definedName name="Range38">#REF!</definedName>
    <definedName name="Range39">#REF!</definedName>
    <definedName name="Range4">#REF!</definedName>
    <definedName name="Range40">#REF!</definedName>
    <definedName name="Range41">#REF!</definedName>
    <definedName name="Range5">#REF!</definedName>
    <definedName name="Range6">#REF!</definedName>
    <definedName name="Range7">#REF!</definedName>
    <definedName name="Range8">#REF!</definedName>
    <definedName name="Range9">#REF!</definedName>
    <definedName name="Rate_Cap_Off">[16]Assumptions!$E$33</definedName>
    <definedName name="Rate_Reduction_Factor">#REF!</definedName>
    <definedName name="rate90">[4]Model!$I$175</definedName>
    <definedName name="rate91">[4]Model!$J$175</definedName>
    <definedName name="rate92">[4]Model!$K$175</definedName>
    <definedName name="rate93">[4]Model!$L$175</definedName>
    <definedName name="rate94">[4]Model!$M$175</definedName>
    <definedName name="rate95">[4]Model!$N$175</definedName>
    <definedName name="rate96">[4]Model!$O$175</definedName>
    <definedName name="rate97">[4]Model!$P$175</definedName>
    <definedName name="rate98">[4]Model!$Q$175</definedName>
    <definedName name="RBU">'[10]PECO Bal Sht'!#REF!</definedName>
    <definedName name="reawreqw" hidden="1">{#N/A,#N/A,FALSE,"Monthly SAIFI";#N/A,#N/A,FALSE,"Yearly SAIFI";#N/A,#N/A,FALSE,"Monthly CAIDI";#N/A,#N/A,FALSE,"Yearly CAIDI";#N/A,#N/A,FALSE,"Monthly SAIDI";#N/A,#N/A,FALSE,"Yearly SAIDI";#N/A,#N/A,FALSE,"Monthly MAIFI";#N/A,#N/A,FALSE,"Yearly MAIFI";#N/A,#N/A,FALSE,"Monthly Cust &gt;=4 Int"}</definedName>
    <definedName name="_xlnm.Recorder">#REF!</definedName>
    <definedName name="Recover">[19]Assumptions!$E$36</definedName>
    <definedName name="reduced_credit">[4]Print!$I$22</definedName>
    <definedName name="reduced_credit_caption">[4]Print!$G$22</definedName>
    <definedName name="Refresh_Report">[27]!Refresh_Report</definedName>
    <definedName name="REPORT_SELECT">#REF!</definedName>
    <definedName name="REPORT_TABLE">#REF!</definedName>
    <definedName name="ReportingDate">[21]SETUP!$C$11</definedName>
    <definedName name="RESALE_CUSTOMERS">#REF!</definedName>
    <definedName name="RESALE_LINES">#REF!</definedName>
    <definedName name="RESET_SENS_FACT">#REF!</definedName>
    <definedName name="Restructure_Amort">'[16]Restructuring Amort.'!$A$7:$V$105</definedName>
    <definedName name="RETURN">#REF!</definedName>
    <definedName name="RID">#REF!</definedName>
    <definedName name="ROA">#REF!</definedName>
    <definedName name="RPA">[19]Assumptions!$E$46</definedName>
    <definedName name="rwrw">#REF!</definedName>
    <definedName name="saaaagd">'[8]2005 CapEx (By VP By Dept) Budg'!$A$3:$P$431</definedName>
    <definedName name="saaanghvi21">'[8]2005 CapEx (By VP By Dept) Budg'!$A$3:$P$431</definedName>
    <definedName name="safasdfsad">'[8]2005 CapEx (By VP By Dept) Budg'!$A$3:$P$431</definedName>
    <definedName name="Safety_Workforce_Eff_">#REF!</definedName>
    <definedName name="saff">'[8]2005 CapEx (By VP By Dept) Budg'!$A$3:$P$431</definedName>
    <definedName name="safsafs">#REF!</definedName>
    <definedName name="safsfsad">#REF!</definedName>
    <definedName name="safsgfsdf">'[8]2005 CapEx (By VP By Dept) Budg'!$A$3:$P$431</definedName>
    <definedName name="Sales">'[16]ACE 25 Year Sales Forecast'!$A$90:$EA$100</definedName>
    <definedName name="salkgasgs">'[8]2005 CapEx (By VP By Dept) Budg'!$A$3:$P$431</definedName>
    <definedName name="sanahgsg">'[8]2005 CapEx (By VP By Dept) Budg'!$A$3:$P$431</definedName>
    <definedName name="sangg">'[8]2005 CapEx (By VP By Dept) Budg'!$A$3:$P$431</definedName>
    <definedName name="sangh">#REF!</definedName>
    <definedName name="sanghiii">'[8]2005 CapEx (By VP By Dept) Budg'!$A$3:$P$431</definedName>
    <definedName name="sanghvi">'[8]2005 CapEx (By VP By Dept) Budg'!$A$3:$P$431</definedName>
    <definedName name="sanghvi215">#REF!</definedName>
    <definedName name="sanghvi231">'[8]2005 CapEx (By VP By Dept) Budg'!$A$3:$P$431</definedName>
    <definedName name="sanghvi232">#REF!</definedName>
    <definedName name="sanghvi2323">#REF!</definedName>
    <definedName name="SAPBEXhrIndnt" hidden="1">"Wide"</definedName>
    <definedName name="SAPBEXrevision" hidden="1">18</definedName>
    <definedName name="SAPBEXsysID" hidden="1">"BWP"</definedName>
    <definedName name="SAPBEXwbID" hidden="1">"3PHPFV8FO7PRQRDHFGKHVVOKV"</definedName>
    <definedName name="SAPsysID" hidden="1">"708C5W7SBKP804JT78WJ0JNKI"</definedName>
    <definedName name="SAPwbID" hidden="1">"ARS"</definedName>
    <definedName name="sasas">'[8]2005 CapEx (By VP By Dept) Budg'!$A$3:$P$431</definedName>
    <definedName name="saSAsa" hidden="1">{#N/A,#N/A,FALSE,"Monthly SAIFI";#N/A,#N/A,FALSE,"Yearly SAIFI";#N/A,#N/A,FALSE,"Monthly CAIDI";#N/A,#N/A,FALSE,"Yearly CAIDI";#N/A,#N/A,FALSE,"Monthly SAIDI";#N/A,#N/A,FALSE,"Yearly SAIDI";#N/A,#N/A,FALSE,"Monthly MAIFI";#N/A,#N/A,FALSE,"Yearly MAIFI";#N/A,#N/A,FALSE,"Monthly Cust &gt;=4 Int"}</definedName>
    <definedName name="sasg">#REF!</definedName>
    <definedName name="SBC_Amort">'[19]SBC Over Recovery Amort'!$A$14:$F$67</definedName>
    <definedName name="SBU_SHEET_HELP">#REF!</definedName>
    <definedName name="sch.A">#REF!</definedName>
    <definedName name="sch.b._FERC_ICC">#REF!</definedName>
    <definedName name="Schedule_CC1">[4]Model!$A$1:$IV$75</definedName>
    <definedName name="Schedule_CC2">[4]Model!$A$76:$IV$151</definedName>
    <definedName name="Schedule_CC3">[4]Model!$A$152:$IV$207</definedName>
    <definedName name="SCHUYLKILL">#REF!</definedName>
    <definedName name="sdajsadf">'[8]2005 CapEx (By VP By Dept) Budg'!$A$3:$P$431</definedName>
    <definedName name="sdasda">#REF!</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dfafsdf">'[8]2005 CapEx (By VP By Dept) Budg'!$A$3:$P$431</definedName>
    <definedName name="sdfafsd">#REF!</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asfasfasfsdf">#REF!</definedName>
    <definedName name="sdfasfsf">#REF!</definedName>
    <definedName name="sdfdfafaf">'[8]2005 CapEx (By VP By Dept) Budg'!$A$3:$P$431</definedName>
    <definedName name="sdfdfsf">#REF!</definedName>
    <definedName name="sdfds" hidden="1">{#N/A,#N/A,FALSE,"Monthly SAIFI";#N/A,#N/A,FALSE,"Yearly SAIFI";#N/A,#N/A,FALSE,"Monthly CAIDI";#N/A,#N/A,FALSE,"Yearly CAIDI";#N/A,#N/A,FALSE,"Monthly SAIDI";#N/A,#N/A,FALSE,"Yearly SAIDI";#N/A,#N/A,FALSE,"Monthly MAIFI";#N/A,#N/A,FALSE,"Yearly MAIFI";#N/A,#N/A,FALSE,"Monthly Cust &gt;=4 Int"}</definedName>
    <definedName name="sdffsfaf">#REF!</definedName>
    <definedName name="sdfsadfsf">#REF!</definedName>
    <definedName name="sdfsdfafasf">'[8]2005 CapEx (By VP By Dept) Budg'!$A$3:$P$431</definedName>
    <definedName name="sdfsdfdfdf">#REF!</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#REF!</definedName>
    <definedName name="sdfsdfsdasdfsd">#REF!</definedName>
    <definedName name="sdfsdfsdf">'[8]2005 CapEx (By VP By Dept) Budg'!$A$3:$P$431</definedName>
    <definedName name="sdfsdfsdfsdfsdf">#REF!</definedName>
    <definedName name="sdfsdfsfsa" hidden="1">{#N/A,#N/A,FALSE,"Monthly SAIFI";#N/A,#N/A,FALSE,"Yearly SAIFI";#N/A,#N/A,FALSE,"Monthly CAIDI";#N/A,#N/A,FALSE,"Yearly CAIDI";#N/A,#N/A,FALSE,"Monthly SAIDI";#N/A,#N/A,FALSE,"Yearly SAIDI";#N/A,#N/A,FALSE,"Monthly MAIFI";#N/A,#N/A,FALSE,"Yearly MAIFI";#N/A,#N/A,FALSE,"Monthly Cust &gt;=4 Int"}</definedName>
    <definedName name="sdfsf">#REF!</definedName>
    <definedName name="sdgf" hidden="1">#REF!</definedName>
    <definedName name="sdgrsdfsfsdsd">'[8]2005 CapEx (By VP By Dept) Budg'!$A$3:$P$431</definedName>
    <definedName name="sdsdsa">#REF!</definedName>
    <definedName name="sdsdsddsf">'[8]2005 CapEx (By VP By Dept) Budg'!$A$3:$P$431</definedName>
    <definedName name="sefasdfasdfsdf">'[8]2005 CapEx (By VP By Dept) Budg'!$A$3:$P$431</definedName>
    <definedName name="SENS_DATA_RTN">#REF!</definedName>
    <definedName name="SENS_MESSAGE">#REF!</definedName>
    <definedName name="SENS_NET_CREDIT">[4]Sens_Model!$E$193</definedName>
    <definedName name="Sep">#REF!</definedName>
    <definedName name="SepNEW">#REF!</definedName>
    <definedName name="Sept">#REF!</definedName>
    <definedName name="SERP">#REF!</definedName>
    <definedName name="sf">#REF!</definedName>
    <definedName name="SFDD">'[10]PECO Bal Sht'!#REF!</definedName>
    <definedName name="sffsfa" hidden="1">{#N/A,#N/A,FALSE,"Monthly SAIFI";#N/A,#N/A,FALSE,"Yearly SAIFI";#N/A,#N/A,FALSE,"Monthly CAIDI";#N/A,#N/A,FALSE,"Yearly CAIDI";#N/A,#N/A,FALSE,"Monthly SAIDI";#N/A,#N/A,FALSE,"Yearly SAIDI";#N/A,#N/A,FALSE,"Monthly MAIFI";#N/A,#N/A,FALSE,"Yearly MAIFI";#N/A,#N/A,FALSE,"Monthly Cust &gt;=4 Int"}</definedName>
    <definedName name="sfsd">#REF!</definedName>
    <definedName name="sfsdfasf">#REF!</definedName>
    <definedName name="sfsdfsafsf">#REF!</definedName>
    <definedName name="sfsdfsdf">#REF!</definedName>
    <definedName name="sfsdfsfsfsd">#REF!</definedName>
    <definedName name="sfsf">'[8]2005 CapEx (By VP By Dept) Budg'!$A$3:$P$431</definedName>
    <definedName name="sfsfasfsdfsdf">'[8]2005 CapEx (By VP By Dept) Budg'!$A$3:$P$431</definedName>
    <definedName name="SFSFD" hidden="1">{#N/A,#N/A,FALSE,"Monthly SAIFI";#N/A,#N/A,FALSE,"Yearly SAIFI";#N/A,#N/A,FALSE,"Monthly CAIDI";#N/A,#N/A,FALSE,"Yearly CAIDI";#N/A,#N/A,FALSE,"Monthly SAIDI";#N/A,#N/A,FALSE,"Yearly SAIDI";#N/A,#N/A,FALSE,"Monthly MAIFI";#N/A,#N/A,FALSE,"Yearly MAIFI";#N/A,#N/A,FALSE,"Monthly Cust &gt;=4 Int"}</definedName>
    <definedName name="sfsfs">'[8]2005 CapEx (By VP By Dept) Budg'!$A$3:$P$431</definedName>
    <definedName name="sfsfsf">#REF!</definedName>
    <definedName name="sfsssr">#REF!</definedName>
    <definedName name="SFVD">'[10]PECO Bal Sht'!#REF!</definedName>
    <definedName name="sgggggkjjkkj">#REF!</definedName>
    <definedName name="SharedSVC_Data">[26]Walt_CCTR_Detail!$B$5:$H$723</definedName>
    <definedName name="shedulecc1">[4]Model!$A$1:$IV$68</definedName>
    <definedName name="Sheet1" hidden="1">{#N/A,#N/A,FALSE,"Monthly SAIFI";#N/A,#N/A,FALSE,"Yearly SAIFI";#N/A,#N/A,FALSE,"Monthly CAIDI";#N/A,#N/A,FALSE,"Yearly CAIDI";#N/A,#N/A,FALSE,"Monthly SAIDI";#N/A,#N/A,FALSE,"Yearly SAIDI";#N/A,#N/A,FALSE,"Monthly MAIFI";#N/A,#N/A,FALSE,"Yearly MAIFI";#N/A,#N/A,FALSE,"Monthly Cust &gt;=4 Int"}</definedName>
    <definedName name="SLA_Unit_Cost">#REF!</definedName>
    <definedName name="slldk" hidden="1">{#N/A,#N/A,FALSE,"Monthly SAIFI";#N/A,#N/A,FALSE,"Yearly SAIFI";#N/A,#N/A,FALSE,"Monthly CAIDI";#N/A,#N/A,FALSE,"Yearly CAIDI";#N/A,#N/A,FALSE,"Monthly SAIDI";#N/A,#N/A,FALSE,"Yearly SAIDI";#N/A,#N/A,FALSE,"Monthly MAIFI";#N/A,#N/A,FALSE,"Yearly MAIFI";#N/A,#N/A,FALSE,"Monthly Cust &gt;=4 Int"}</definedName>
    <definedName name="SMRPEast">'[25]SMRP Results'!$H$28:$I$34</definedName>
    <definedName name="SMRPWest">'[25]SMRP Results'!$H$37:$I$43</definedName>
    <definedName name="snfsdfs">'[8]2005 CapEx (By VP By Dept) Budg'!$A$3:$P$431</definedName>
    <definedName name="snghviw">'[8]2005 CapEx (By VP By Dept) Budg'!$A$3:$P$431</definedName>
    <definedName name="solver_adj" hidden="1">#REF!,#REF!,#REF!,#REF!,#REF!,#REF!,#REF!</definedName>
    <definedName name="solver_lin" hidden="1">0</definedName>
    <definedName name="solver_num" hidden="1">0</definedName>
    <definedName name="solver_tmp" hidden="1">#REF!,#REF!,#REF!,#REF!,#REF!,#REF!,#REF!</definedName>
    <definedName name="solver_typ" hidden="1">1</definedName>
    <definedName name="solver_val" hidden="1">0</definedName>
    <definedName name="SortE" hidden="1">#REF!</definedName>
    <definedName name="SOUTH">#REF!</definedName>
    <definedName name="SPSet">"current"</definedName>
    <definedName name="SPWS_WBID">"5212E8AE-A962-4131-8FBC-A40040E9ED32"</definedName>
    <definedName name="SSA">[17]Assumptions!#REF!</definedName>
    <definedName name="start84">'[4]QRE''s'!$D$8</definedName>
    <definedName name="start85">'[4]QRE''s'!$E$8</definedName>
    <definedName name="start86">'[4]QRE''s'!$F$8</definedName>
    <definedName name="start87">'[4]QRE''s'!$G$8</definedName>
    <definedName name="start88">'[4]QRE''s'!$H$8</definedName>
    <definedName name="start89">'[4]QRE''s'!$I$8</definedName>
    <definedName name="start90">'[4]QRE''s'!$J$8</definedName>
    <definedName name="start91">'[4]QRE''s'!$K$8</definedName>
    <definedName name="start92">'[4]QRE''s'!$L$8</definedName>
    <definedName name="start93">'[4]QRE''s'!$M$8</definedName>
    <definedName name="start94">'[4]QRE''s'!$N$8</definedName>
    <definedName name="start95">'[4]QRE''s'!$O$8</definedName>
    <definedName name="start96">'[4]QRE''s'!$P$8</definedName>
    <definedName name="start97">'[4]QRE''s'!$Q$8</definedName>
    <definedName name="start98">'[4]QRE''s'!$R$8</definedName>
    <definedName name="StartDate">#REF!</definedName>
    <definedName name="startdate2">[5]Sheet2!$Q$1:$Q$17</definedName>
    <definedName name="startdte">[5]Sheet2!$Q$1:$Q$17</definedName>
    <definedName name="startdte4">[5]Sheet2!$Q$1:$Q$17</definedName>
    <definedName name="State_Tax_Rate">[16]Assumptions!$E$27</definedName>
    <definedName name="summary">[4]Model!$A$182:$E$200</definedName>
    <definedName name="summary_caution">[4]Model!$A$202:$IV$207</definedName>
    <definedName name="SUT">#REF!</definedName>
    <definedName name="Swap_Amort">'[16]Keystone Swap Amort Sched'!$A$1:$F$241</definedName>
    <definedName name="Sx">#REF!</definedName>
    <definedName name="T">[1]JobDefinition!#REF!</definedName>
    <definedName name="TABLE">#REF!</definedName>
    <definedName name="Tacx_Factor">[51]Assumptions!$E$33</definedName>
    <definedName name="TaxBasis">[19]Assumptions!$E$42</definedName>
    <definedName name="TBC">'[16]TBC Rate Summary'!$C$3:$BV$21</definedName>
    <definedName name="tblCharts">'[4]Macro Tables'!$I$5:$I$16</definedName>
    <definedName name="tblHelp">'[4]Macro Tables'!$N$5:$N$16</definedName>
    <definedName name="tblReports">'[4]Macro Tables'!$B$5:$B$16</definedName>
    <definedName name="tblWorksheets">'[4]Macro Tables'!$E$5:$E$16</definedName>
    <definedName name="TEFA">#REF!</definedName>
    <definedName name="TEST">#REF!</definedName>
    <definedName name="TEST0">#REF!</definedName>
    <definedName name="test1">#REF!</definedName>
    <definedName name="TESTHKEY">#REF!</definedName>
    <definedName name="TESTKEYS">#REF!</definedName>
    <definedName name="TESTVKEY">#REF!</definedName>
    <definedName name="three">#REF!,#REF!,#REF!</definedName>
    <definedName name="TOTAL">#REF!</definedName>
    <definedName name="TOTAL_CUSTOMERS">#REF!</definedName>
    <definedName name="TOTAL_LINES">#REF!</definedName>
    <definedName name="total84">'[4]QRE''s'!$D$96</definedName>
    <definedName name="total85">'[4]QRE''s'!$E$96</definedName>
    <definedName name="total86">'[4]QRE''s'!$F$96</definedName>
    <definedName name="total87">'[4]QRE''s'!$G$96</definedName>
    <definedName name="total88">'[4]QRE''s'!$H$96</definedName>
    <definedName name="total89">'[4]QRE''s'!$I$96</definedName>
    <definedName name="total90">'[4]QRE''s'!$J$96</definedName>
    <definedName name="total91">'[4]QRE''s'!$K$96</definedName>
    <definedName name="total92">'[4]QRE''s'!$L$96</definedName>
    <definedName name="total93">'[4]QRE''s'!$M$96</definedName>
    <definedName name="total94">'[4]QRE''s'!$N$96</definedName>
    <definedName name="total95">'[4]QRE''s'!$O$96</definedName>
    <definedName name="total96">'[4]QRE''s'!$P$96</definedName>
    <definedName name="total97">'[4]QRE''s'!$Q$96</definedName>
    <definedName name="total98">'[4]QRE''s'!$R$96</definedName>
    <definedName name="TP_Footer_Path" hidden="1">"S:\74639\03RET\(417) 2004 Cost Projection\"</definedName>
    <definedName name="TP_Footer_Path1" hidden="1">"S:\74639\03RET\(852) Pension Val - OOS\Contribution Allocations\"</definedName>
    <definedName name="TP_Footer_User" hidden="1">"Mary Lou Barrios"</definedName>
    <definedName name="TP_Footer_Version" hidden="1">"v3.00"</definedName>
    <definedName name="transco">#REF!</definedName>
    <definedName name="transcosts">[19]Assumptions!$E$43</definedName>
    <definedName name="Tree">#REF!</definedName>
    <definedName name="TWELVE">#REF!</definedName>
    <definedName name="two">#REF!,#REF!,#REF!</definedName>
    <definedName name="TypeCost">'[11]all EED O&amp;M BO data'!$V$2:$V$5000</definedName>
    <definedName name="tyty" hidden="1">{#N/A,#N/A,FALSE,"Monthly SAIFI";#N/A,#N/A,FALSE,"Yearly SAIFI";#N/A,#N/A,FALSE,"Monthly CAIDI";#N/A,#N/A,FALSE,"Yearly CAIDI";#N/A,#N/A,FALSE,"Monthly SAIDI";#N/A,#N/A,FALSE,"Yearly SAIDI";#N/A,#N/A,FALSE,"Monthly MAIFI";#N/A,#N/A,FALSE,"Yearly MAIFI";#N/A,#N/A,FALSE,"Monthly Cust &gt;=4 Int"}</definedName>
    <definedName name="under" hidden="1">{#N/A,#N/A,TRUE,"TAXPROV";#N/A,#N/A,TRUE,"FLOWTHRU";#N/A,#N/A,TRUE,"SCHEDULE M'S";#N/A,#N/A,TRUE,"PLANT M'S";#N/A,#N/A,TRUE,"TAXJE"}</definedName>
    <definedName name="UTILRANGE">#REF!</definedName>
    <definedName name="va">#REF!</definedName>
    <definedName name="vacpd">#REF!</definedName>
    <definedName name="ValidData">#REF!</definedName>
    <definedName name="ValuationYear">'[52]FAS 87'!$B$3</definedName>
    <definedName name="vaplr">#REF!</definedName>
    <definedName name="vaytd">#REF!</definedName>
    <definedName name="vcbcvbcv" hidden="1">{#N/A,#N/A,FALSE,"Monthly SAIFI";#N/A,#N/A,FALSE,"Yearly SAIFI";#N/A,#N/A,FALSE,"Monthly CAIDI";#N/A,#N/A,FALSE,"Yearly CAIDI";#N/A,#N/A,FALSE,"Monthly SAIDI";#N/A,#N/A,FALSE,"Yearly SAIDI";#N/A,#N/A,FALSE,"Monthly MAIFI";#N/A,#N/A,FALSE,"Yearly MAIFI";#N/A,#N/A,FALSE,"Monthly Cust &gt;=4 Int"}</definedName>
    <definedName name="vxcvxc">'[8]2005 CapEx (By VP By Dept) Budg'!$A$3:$P$431</definedName>
    <definedName name="vxcvxcvx">'[8]2005 CapEx (By VP By Dept) Budg'!$A$3:$P$431</definedName>
    <definedName name="vxvxvxcvxc">'[8]2005 CapEx (By VP By Dept) Budg'!$A$3:$P$431</definedName>
    <definedName name="vxzvxcvxzcvxcv">'[8]2005 CapEx (By VP By Dept) Budg'!$A$3:$P$431</definedName>
    <definedName name="wearwerawer">#REF!</definedName>
    <definedName name="wer" hidden="1">{#N/A,#N/A,FALSE,"Monthly SAIFI";#N/A,#N/A,FALSE,"Yearly SAIFI";#N/A,#N/A,FALSE,"Monthly CAIDI";#N/A,#N/A,FALSE,"Yearly CAIDI";#N/A,#N/A,FALSE,"Monthly SAIDI";#N/A,#N/A,FALSE,"Yearly SAIDI";#N/A,#N/A,FALSE,"Monthly MAIFI";#N/A,#N/A,FALSE,"Yearly MAIFI";#N/A,#N/A,FALSE,"Monthly Cust &gt;=4 Int"}</definedName>
    <definedName name="werw3">#REF!</definedName>
    <definedName name="werwerwe">#REF!</definedName>
    <definedName name="WESTERN">#REF!</definedName>
    <definedName name="what" hidden="1">{#N/A,#N/A,FALSE,"O&amp;M by processes";#N/A,#N/A,FALSE,"Elec Act vs Bud";#N/A,#N/A,FALSE,"G&amp;A";#N/A,#N/A,FALSE,"BGS";#N/A,#N/A,FALSE,"Res Cost"}</definedName>
    <definedName name="what09" hidden="1">{#N/A,#N/A,FALSE,"O&amp;M by processes";#N/A,#N/A,FALSE,"Elec Act vs Bud";#N/A,#N/A,FALSE,"G&amp;A";#N/A,#N/A,FALSE,"BGS";#N/A,#N/A,FALSE,"Res Cost"}</definedName>
    <definedName name="Whatwhat" hidden="1">{#N/A,#N/A,FALSE,"O&amp;M by processes";#N/A,#N/A,FALSE,"Elec Act vs Bud";#N/A,#N/A,FALSE,"G&amp;A";#N/A,#N/A,FALSE,"BGS";#N/A,#N/A,FALSE,"Res Cost"}</definedName>
    <definedName name="Whatwhat09" hidden="1">{#N/A,#N/A,FALSE,"O&amp;M by processes";#N/A,#N/A,FALSE,"Elec Act vs Bud";#N/A,#N/A,FALSE,"G&amp;A";#N/A,#N/A,FALSE,"BGS";#N/A,#N/A,FALSE,"Res Cost"}</definedName>
    <definedName name="whatwhat2009" hidden="1">{#N/A,#N/A,FALSE,"O&amp;M by processes";#N/A,#N/A,FALSE,"Elec Act vs Bud";#N/A,#N/A,FALSE,"G&amp;A";#N/A,#N/A,FALSE,"BGS";#N/A,#N/A,FALSE,"Res Cost"}</definedName>
    <definedName name="Workforce">#REF!</definedName>
    <definedName name="wrn.Aging._.and._.Trend._.Analysis." hidden="1">{#N/A,#N/A,FALSE,"Aging Summary";#N/A,#N/A,FALSE,"Ratio Analysis";#N/A,#N/A,FALSE,"Test 120 Day Accts";#N/A,#N/A,FALSE,"Tickmarks"}</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Filing." hidden="1">{"2002 Scedule A Revenue Proof",#N/A,FALSE,"Schedule A";"2002 Rate Detail",#N/A,FALSE,"Schedule B";"2002 Light Rates Page 1",#N/A,FALSE,"Schedule B";"2002 Light Rates Page 2",#N/A,FALSE,"Schedule B";"Schedule C",#N/A,FALSE,"Schedule C"}</definedName>
    <definedName name="wrn.Basic." hidden="1">{#N/A,#N/A,FALSE,"O&amp;M by processes";#N/A,#N/A,FALSE,"Elec Act vs Bud";#N/A,#N/A,FALSE,"G&amp;A";#N/A,#N/A,FALSE,"BGS";#N/A,#N/A,FALSE,"Res Cost"}</definedName>
    <definedName name="wrn.CFC._.QUARTER." hidden="1">{"CFC COMPARISON",#N/A,FALSE,"CFCCOMP";"CREDIT LETTER",#N/A,FALSE,"CFCCOMP";"DEBT OBLIGATION",#N/A,FALSE,"CFCCOMP";"OFFICERS CERTIFICATE",#N/A,FALSE,"CFCCOMP"}</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_.Update."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definedName>
    <definedName name="wrn.Filing._.Update09"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definedName>
    <definedName name="wrn.FUEL._.SCHEDULE." hidden="1">{"COVER",#N/A,FALSE,"COVERPMT";"COMPANY ORDER",#N/A,FALSE,"COVERPMT";"EXHIBIT A",#N/A,FALSE,"COVERPMT"}</definedName>
    <definedName name="wrn.HLP._.Detail." hidden="1">{"2002 - 2006 Detail Income Statement",#N/A,FALSE,"TUB Income Statement wo DW";"BGS Deferral",#N/A,FALSE,"BGS Deferral";"NNC Deferral",#N/A,FALSE,"NNC Deferral";"MTC Deferral",#N/A,FALSE,"MTC Deferral";#N/A,#N/A,FALSE,"Schedule D"}</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_D._.Tax._.Services." hidden="1">{#N/A,#N/A,FALSE,"R&amp;D Quick Calc";#N/A,#N/A,FALSE,"DOE Fee Schedule"}</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ettlement._.Analysis." hidden="1">{"Assumptions",#N/A,FALSE,"Assumptions";"2003 - 2007 Summary",#N/A,FALSE,"Income Statement";"Summary Deferral Forecast",#N/A,FALSE,"Deferral Forecast"}</definedName>
    <definedName name="wrn.tax._._Accrual09" hidden="1">{#N/A,#N/A,TRUE,"TAXPROV";#N/A,#N/A,TRUE,"FLOWTHRU";#N/A,#N/A,TRUE,"SCHEDULE M'S";#N/A,#N/A,TRUE,"PLANT M'S";#N/A,#N/A,TRUE,"TAXJE"}</definedName>
    <definedName name="wrn.Tax._.Accrual." hidden="1">{#N/A,#N/A,TRUE,"TAXPROV";#N/A,#N/A,TRUE,"FLOWTHRU";#N/A,#N/A,TRUE,"SCHEDULE M'S";#N/A,#N/A,TRUE,"PLANT M'S";#N/A,#N/A,TRUE,"TAXJE"}</definedName>
    <definedName name="wrn.TBC._.Update." hidden="1">{#N/A,#N/A,FALSE,"TABLE I";#N/A,#N/A,FALSE,"TBC Development";#N/A,#N/A,FALSE,"MTC -Tax Development";#N/A,#N/A,FALSE,"MTC - Tax descriptions";#N/A,#N/A,FALSE,"MTC -Tax True Up"}</definedName>
    <definedName name="xcvxvx">#REF!</definedName>
    <definedName name="xvsdgsgfsf">'[8]2005 CapEx (By VP By Dept) Budg'!$A$3:$P$431</definedName>
    <definedName name="xvxvxzvxc">#REF!</definedName>
    <definedName name="xzczczczxc">#REF!</definedName>
    <definedName name="y" hidden="1">{#N/A,#N/A,FALSE,"Monthly SAIFI";#N/A,#N/A,FALSE,"Yearly SAIFI";#N/A,#N/A,FALSE,"Monthly CAIDI";#N/A,#N/A,FALSE,"Yearly CAIDI";#N/A,#N/A,FALSE,"Monthly SAIDI";#N/A,#N/A,FALSE,"Yearly SAIDI";#N/A,#N/A,FALSE,"Monthly MAIFI";#N/A,#N/A,FALSE,"Yearly MAIFI";#N/A,#N/A,FALSE,"Monthly Cust &gt;=4 Int"}</definedName>
    <definedName name="YEAct">'[11]all EED O&amp;M BO data'!$O$2:$O$5000</definedName>
    <definedName name="Year">#REF!</definedName>
    <definedName name="Year4BGS">[16]Assumptions!#REF!</definedName>
    <definedName name="YEBudVar">'[11]all EED O&amp;M BO data'!$R$2:$R$5000</definedName>
    <definedName name="YEQtrVar">'[11]all EED O&amp;M BO data'!$S$2:$S$5000</definedName>
    <definedName name="YesNo">#REF!</definedName>
    <definedName name="YORK_COUNTY">#REF!</definedName>
    <definedName name="yrtm1">[4]Print!$I$31</definedName>
    <definedName name="yrtm2">[4]Print!$G$31</definedName>
    <definedName name="yrtm3">[4]Print!$E$31</definedName>
    <definedName name="yrtm4">[4]Print!$C$31</definedName>
    <definedName name="yryryrr" hidden="1">{#N/A,#N/A,FALSE,"Monthly SAIFI";#N/A,#N/A,FALSE,"Yearly SAIFI";#N/A,#N/A,FALSE,"Monthly CAIDI";#N/A,#N/A,FALSE,"Yearly CAIDI";#N/A,#N/A,FALSE,"Monthly SAIDI";#N/A,#N/A,FALSE,"Yearly SAIDI";#N/A,#N/A,FALSE,"Monthly MAIFI";#N/A,#N/A,FALSE,"Yearly MAIFI";#N/A,#N/A,FALSE,"Monthly Cust &gt;=4 Int"}</definedName>
    <definedName name="YTDAct">'[11]all EED O&amp;M BO data'!$J$2:$J$5000</definedName>
    <definedName name="YTDBudVar">'[11]all EED O&amp;M BO data'!$M$2:$M$5000</definedName>
    <definedName name="YTDCFLE">#REF!</definedName>
    <definedName name="YTDQtrVar">'[11]all EED O&amp;M BO data'!$N$2:$N$5000</definedName>
    <definedName name="z" hidden="1">{#N/A,#N/A,FALSE,"Monthly SAIFI";#N/A,#N/A,FALSE,"Yearly SAIFI";#N/A,#N/A,FALSE,"Monthly CAIDI";#N/A,#N/A,FALSE,"Yearly CAIDI";#N/A,#N/A,FALSE,"Monthly SAIDI";#N/A,#N/A,FALSE,"Yearly SAIDI";#N/A,#N/A,FALSE,"Monthly MAIFI";#N/A,#N/A,FALSE,"Yearly MAIFI";#N/A,#N/A,FALSE,"Monthly Cust &gt;=4 Int"}</definedName>
    <definedName name="Zxczxczczc">'[8]2005 CapEx (By VP By Dept) Budg'!$A$3:$P$431</definedName>
    <definedName name="zxdc">[53]Update!$B$2</definedName>
  </definedNames>
  <calcPr calcId="191028"/>
  <extLst>
    <ext xmlns:x15="http://schemas.microsoft.com/office/spreadsheetml/2010/11/main" uri="{140A7094-0E35-4892-8432-C4D2E57EDEB5}">
      <x15:workbookPr chartTrackingRefBase="1"/>
    </ext>
    <x:ext xmlns:x="http://schemas.openxmlformats.org/spreadsheetml/2006/main"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extLst>
</workbook>
</file>

<file path=xl/calcChain.xml><?xml version="1.0" encoding="utf-8"?>
<calcChain xmlns="http://schemas.openxmlformats.org/spreadsheetml/2006/main">
  <c r="H5" i="35" l="1"/>
  <c r="I5" i="35"/>
  <c r="K4" i="36"/>
  <c r="H6" i="49"/>
  <c r="H8" i="49"/>
  <c r="E4" i="49"/>
  <c r="H25" i="49"/>
  <c r="F25" i="49"/>
  <c r="I24" i="49"/>
  <c r="H24" i="49"/>
  <c r="F24" i="49"/>
  <c r="E24" i="49"/>
  <c r="H23" i="49"/>
  <c r="F23" i="49"/>
  <c r="K22" i="49"/>
  <c r="J22" i="49"/>
  <c r="I22" i="49"/>
  <c r="G22" i="49"/>
  <c r="E22" i="49"/>
  <c r="K21" i="49"/>
  <c r="J21" i="49"/>
  <c r="I21" i="49"/>
  <c r="G21" i="49"/>
  <c r="E21" i="49"/>
  <c r="K20" i="49"/>
  <c r="J20" i="49"/>
  <c r="I20" i="49"/>
  <c r="G20" i="49"/>
  <c r="E20" i="49"/>
  <c r="K19" i="49"/>
  <c r="J19" i="49"/>
  <c r="I19" i="49"/>
  <c r="G19" i="49"/>
  <c r="E19" i="49"/>
  <c r="K18" i="49"/>
  <c r="J18" i="49"/>
  <c r="I18" i="49"/>
  <c r="H18" i="49"/>
  <c r="G18" i="49"/>
  <c r="F18" i="49"/>
  <c r="E18" i="49"/>
  <c r="K17" i="49"/>
  <c r="J17" i="49"/>
  <c r="I17" i="49"/>
  <c r="H17" i="49"/>
  <c r="G17" i="49"/>
  <c r="F17" i="49"/>
  <c r="E17" i="49"/>
  <c r="K16" i="49"/>
  <c r="J16" i="49"/>
  <c r="I16" i="49"/>
  <c r="H16" i="49"/>
  <c r="G16" i="49"/>
  <c r="F16" i="49"/>
  <c r="E16" i="49"/>
  <c r="K15" i="49"/>
  <c r="J15" i="49"/>
  <c r="I15" i="49"/>
  <c r="H15" i="49"/>
  <c r="F15" i="49"/>
  <c r="E15" i="49"/>
  <c r="K14" i="49"/>
  <c r="J14" i="49"/>
  <c r="I14" i="49"/>
  <c r="H14" i="49"/>
  <c r="G14" i="49"/>
  <c r="F14" i="49"/>
  <c r="E14" i="49"/>
  <c r="K13" i="49"/>
  <c r="J13" i="49"/>
  <c r="I13" i="49"/>
  <c r="H13" i="49"/>
  <c r="G13" i="49"/>
  <c r="F13" i="49"/>
  <c r="E13" i="49"/>
  <c r="K12" i="49"/>
  <c r="J12" i="49"/>
  <c r="I12" i="49"/>
  <c r="H12" i="49"/>
  <c r="G12" i="49"/>
  <c r="F12" i="49"/>
  <c r="E12" i="49"/>
  <c r="K11" i="49"/>
  <c r="J11" i="49"/>
  <c r="I11" i="49"/>
  <c r="H11" i="49"/>
  <c r="G11" i="49"/>
  <c r="F11" i="49"/>
  <c r="E11" i="49"/>
  <c r="F10" i="49"/>
  <c r="K9" i="49"/>
  <c r="J9" i="49"/>
  <c r="I9" i="49"/>
  <c r="H9" i="49"/>
  <c r="G9" i="49"/>
  <c r="E9" i="49"/>
  <c r="K8" i="49"/>
  <c r="J8" i="49"/>
  <c r="I8" i="49"/>
  <c r="G8" i="49"/>
  <c r="E8" i="49"/>
  <c r="H7" i="49"/>
  <c r="E7" i="49"/>
  <c r="K6" i="49"/>
  <c r="J6" i="49"/>
  <c r="I6" i="49"/>
  <c r="E6" i="49"/>
  <c r="E5" i="49"/>
  <c r="K5" i="49"/>
  <c r="J5" i="49"/>
  <c r="I5" i="49"/>
  <c r="H5" i="49"/>
  <c r="K4" i="49"/>
  <c r="J4" i="49"/>
  <c r="I4" i="49"/>
  <c r="H4" i="49"/>
  <c r="G4" i="49"/>
  <c r="B5" i="47" l="1"/>
  <c r="F10" i="36"/>
  <c r="J10" i="38"/>
  <c r="J8" i="38"/>
  <c r="J6" i="38"/>
  <c r="C46" i="48"/>
  <c r="C56" i="48" s="1"/>
  <c r="D46" i="48"/>
  <c r="E46" i="48"/>
  <c r="C47" i="48"/>
  <c r="G47" i="48" s="1"/>
  <c r="D47" i="48"/>
  <c r="D56" i="48" s="1"/>
  <c r="E47" i="48"/>
  <c r="C48" i="48"/>
  <c r="D48" i="48"/>
  <c r="E48" i="48"/>
  <c r="G48" i="48"/>
  <c r="C49" i="48"/>
  <c r="G49" i="48" s="1"/>
  <c r="D49" i="48"/>
  <c r="E49" i="48"/>
  <c r="C50" i="48"/>
  <c r="G50" i="48" s="1"/>
  <c r="D50" i="48"/>
  <c r="E50" i="48"/>
  <c r="C51" i="48"/>
  <c r="D51" i="48"/>
  <c r="E51" i="48"/>
  <c r="G51" i="48"/>
  <c r="C52" i="48"/>
  <c r="G52" i="48" s="1"/>
  <c r="D52" i="48"/>
  <c r="E52" i="48"/>
  <c r="C53" i="48"/>
  <c r="G53" i="48" s="1"/>
  <c r="D53" i="48"/>
  <c r="E53" i="48"/>
  <c r="C54" i="48"/>
  <c r="D54" i="48"/>
  <c r="E54" i="48"/>
  <c r="G54" i="48"/>
  <c r="E56" i="48"/>
  <c r="F56" i="48"/>
  <c r="F61" i="48" s="1"/>
  <c r="H56" i="48"/>
  <c r="H61" i="48" s="1"/>
  <c r="I9" i="38" s="1"/>
  <c r="I56" i="48"/>
  <c r="J56" i="48"/>
  <c r="K56" i="48"/>
  <c r="L56" i="48"/>
  <c r="L61" i="48" s="1"/>
  <c r="I12" i="38" s="1"/>
  <c r="M56" i="48"/>
  <c r="C57" i="48"/>
  <c r="G57" i="48" s="1"/>
  <c r="D57" i="48"/>
  <c r="D60" i="48" s="1"/>
  <c r="E57" i="48"/>
  <c r="C58" i="48"/>
  <c r="G58" i="48" s="1"/>
  <c r="D58" i="48"/>
  <c r="E58" i="48"/>
  <c r="E60" i="48" s="1"/>
  <c r="E61" i="48" s="1"/>
  <c r="C59" i="48"/>
  <c r="G59" i="48" s="1"/>
  <c r="D59" i="48"/>
  <c r="E59" i="48"/>
  <c r="F60" i="48"/>
  <c r="H60" i="48"/>
  <c r="I60" i="48"/>
  <c r="I61" i="48" s="1"/>
  <c r="I8" i="38" s="1"/>
  <c r="J60" i="48"/>
  <c r="K60" i="48"/>
  <c r="L60" i="48"/>
  <c r="M60" i="48"/>
  <c r="M61" i="48" s="1"/>
  <c r="I13" i="38" s="1"/>
  <c r="J61" i="48"/>
  <c r="I10" i="38" s="1"/>
  <c r="K61" i="48"/>
  <c r="I11" i="38" s="1"/>
  <c r="C34" i="48"/>
  <c r="C38" i="48" s="1"/>
  <c r="C43" i="48" s="1"/>
  <c r="N7" i="38" s="1"/>
  <c r="D34" i="48"/>
  <c r="E34" i="48"/>
  <c r="G34" i="48"/>
  <c r="C35" i="48"/>
  <c r="D35" i="48"/>
  <c r="E35" i="48"/>
  <c r="G35" i="48"/>
  <c r="C36" i="48"/>
  <c r="G36" i="48" s="1"/>
  <c r="G38" i="48" s="1"/>
  <c r="D36" i="48"/>
  <c r="D38" i="48" s="1"/>
  <c r="D43" i="48" s="1"/>
  <c r="N6" i="38" s="1"/>
  <c r="E36" i="48"/>
  <c r="C37" i="48"/>
  <c r="D37" i="48"/>
  <c r="E37" i="48"/>
  <c r="G37" i="48"/>
  <c r="E38" i="48"/>
  <c r="F38" i="48"/>
  <c r="F43" i="48" s="1"/>
  <c r="H38" i="48"/>
  <c r="I38" i="48"/>
  <c r="J38" i="48"/>
  <c r="K38" i="48"/>
  <c r="L38" i="48"/>
  <c r="M38" i="48"/>
  <c r="C39" i="48"/>
  <c r="C42" i="48" s="1"/>
  <c r="G42" i="48" s="1"/>
  <c r="D39" i="48"/>
  <c r="E39" i="48"/>
  <c r="E42" i="48" s="1"/>
  <c r="C40" i="48"/>
  <c r="G40" i="48" s="1"/>
  <c r="D40" i="48"/>
  <c r="D42" i="48" s="1"/>
  <c r="E40" i="48"/>
  <c r="F42" i="48"/>
  <c r="H42" i="48"/>
  <c r="I42" i="48"/>
  <c r="I43" i="48" s="1"/>
  <c r="N8" i="38" s="1"/>
  <c r="J42" i="48"/>
  <c r="J43" i="48" s="1"/>
  <c r="N10" i="38" s="1"/>
  <c r="K42" i="48"/>
  <c r="K43" i="48" s="1"/>
  <c r="N11" i="38" s="1"/>
  <c r="L42" i="48"/>
  <c r="L43" i="48" s="1"/>
  <c r="N12" i="38" s="1"/>
  <c r="M42" i="48"/>
  <c r="H43" i="48"/>
  <c r="N9" i="38" s="1"/>
  <c r="M43" i="48"/>
  <c r="N13" i="38" s="1"/>
  <c r="M29" i="48"/>
  <c r="M31" i="48" s="1"/>
  <c r="L13" i="38" s="1"/>
  <c r="C30" i="48"/>
  <c r="G30" i="48" s="1"/>
  <c r="D30" i="48"/>
  <c r="E30" i="48"/>
  <c r="F31" i="48"/>
  <c r="H26" i="48"/>
  <c r="K9" i="38" s="1"/>
  <c r="L26" i="48"/>
  <c r="K12" i="38" s="1"/>
  <c r="M26" i="48"/>
  <c r="K13" i="38" s="1"/>
  <c r="C21" i="48"/>
  <c r="G21" i="48" s="1"/>
  <c r="G23" i="48" s="1"/>
  <c r="J5" i="38" s="1"/>
  <c r="D21" i="48"/>
  <c r="E21" i="48"/>
  <c r="C22" i="48"/>
  <c r="G22" i="48" s="1"/>
  <c r="D22" i="48"/>
  <c r="E22" i="48"/>
  <c r="D23" i="48"/>
  <c r="E23" i="48"/>
  <c r="F23" i="48"/>
  <c r="H23" i="48"/>
  <c r="J9" i="38" s="1"/>
  <c r="I23" i="48"/>
  <c r="J23" i="48"/>
  <c r="K23" i="48"/>
  <c r="J11" i="38" s="1"/>
  <c r="L23" i="48"/>
  <c r="J12" i="38" s="1"/>
  <c r="M23" i="48"/>
  <c r="J13" i="38" s="1"/>
  <c r="C5" i="48"/>
  <c r="D5" i="48"/>
  <c r="D13" i="48" s="1"/>
  <c r="E5" i="48"/>
  <c r="E13" i="48" s="1"/>
  <c r="G5" i="48"/>
  <c r="C6" i="48"/>
  <c r="C13" i="48" s="1"/>
  <c r="D6" i="48"/>
  <c r="E6" i="48"/>
  <c r="C7" i="48"/>
  <c r="D7" i="48"/>
  <c r="E7" i="48"/>
  <c r="G7" i="48"/>
  <c r="C8" i="48"/>
  <c r="D8" i="48"/>
  <c r="E8" i="48"/>
  <c r="G8" i="48"/>
  <c r="C9" i="48"/>
  <c r="G9" i="48" s="1"/>
  <c r="D9" i="48"/>
  <c r="E9" i="48"/>
  <c r="C10" i="48"/>
  <c r="D10" i="48"/>
  <c r="E10" i="48"/>
  <c r="G10" i="48"/>
  <c r="C11" i="48"/>
  <c r="D11" i="48"/>
  <c r="E11" i="48"/>
  <c r="G11" i="48"/>
  <c r="C12" i="48"/>
  <c r="G12" i="48" s="1"/>
  <c r="D12" i="48"/>
  <c r="E12" i="48"/>
  <c r="F13" i="48"/>
  <c r="F18" i="48" s="1"/>
  <c r="H13" i="48"/>
  <c r="H29" i="48" s="1"/>
  <c r="I13" i="48"/>
  <c r="I29" i="48" s="1"/>
  <c r="J13" i="48"/>
  <c r="J29" i="48" s="1"/>
  <c r="J31" i="48" s="1"/>
  <c r="L10" i="38" s="1"/>
  <c r="K13" i="48"/>
  <c r="K29" i="48" s="1"/>
  <c r="K31" i="48" s="1"/>
  <c r="L11" i="38" s="1"/>
  <c r="L13" i="48"/>
  <c r="L29" i="48" s="1"/>
  <c r="L31" i="48" s="1"/>
  <c r="L12" i="38" s="1"/>
  <c r="M13" i="48"/>
  <c r="C14" i="48"/>
  <c r="D14" i="48"/>
  <c r="E14" i="48"/>
  <c r="G14" i="48"/>
  <c r="C15" i="48"/>
  <c r="C17" i="48" s="1"/>
  <c r="D15" i="48"/>
  <c r="E15" i="48"/>
  <c r="E17" i="48" s="1"/>
  <c r="C16" i="48"/>
  <c r="G16" i="48" s="1"/>
  <c r="D16" i="48"/>
  <c r="E16" i="48"/>
  <c r="D17" i="48"/>
  <c r="H17" i="48"/>
  <c r="I17" i="48"/>
  <c r="J17" i="48"/>
  <c r="K17" i="48"/>
  <c r="L17" i="48"/>
  <c r="L18" i="48" s="1"/>
  <c r="M12" i="38" s="1"/>
  <c r="M17" i="48"/>
  <c r="M18" i="48" s="1"/>
  <c r="M13" i="38" s="1"/>
  <c r="I18" i="48"/>
  <c r="M8" i="38" s="1"/>
  <c r="C6" i="42"/>
  <c r="G55" i="37"/>
  <c r="G56" i="37"/>
  <c r="G57" i="37"/>
  <c r="G58" i="37"/>
  <c r="G59" i="37"/>
  <c r="G60" i="37"/>
  <c r="G61" i="37"/>
  <c r="G62" i="37"/>
  <c r="G63" i="37"/>
  <c r="G65" i="37"/>
  <c r="G66" i="37"/>
  <c r="G67" i="37"/>
  <c r="G68" i="37"/>
  <c r="G69" i="37"/>
  <c r="G70" i="37"/>
  <c r="G71" i="37"/>
  <c r="G72" i="37"/>
  <c r="C5" i="47"/>
  <c r="D29" i="48" l="1"/>
  <c r="D31" i="48" s="1"/>
  <c r="L6" i="38" s="1"/>
  <c r="I31" i="48"/>
  <c r="L8" i="38" s="1"/>
  <c r="G43" i="48"/>
  <c r="N5" i="38" s="1"/>
  <c r="D61" i="48"/>
  <c r="I6" i="38" s="1"/>
  <c r="C61" i="48"/>
  <c r="I7" i="38" s="1"/>
  <c r="G56" i="48"/>
  <c r="G61" i="48" s="1"/>
  <c r="I5" i="38" s="1"/>
  <c r="C29" i="48"/>
  <c r="H31" i="48"/>
  <c r="L9" i="38" s="1"/>
  <c r="G13" i="48"/>
  <c r="E26" i="48"/>
  <c r="E18" i="48"/>
  <c r="E43" i="48"/>
  <c r="G17" i="48"/>
  <c r="C18" i="48"/>
  <c r="M7" i="38" s="1"/>
  <c r="C26" i="48"/>
  <c r="K7" i="38" s="1"/>
  <c r="D18" i="48"/>
  <c r="M6" i="38" s="1"/>
  <c r="D26" i="48"/>
  <c r="K6" i="38" s="1"/>
  <c r="G15" i="48"/>
  <c r="K26" i="48"/>
  <c r="K11" i="38" s="1"/>
  <c r="G39" i="48"/>
  <c r="G46" i="48"/>
  <c r="K18" i="48"/>
  <c r="M11" i="38" s="1"/>
  <c r="C23" i="48"/>
  <c r="J7" i="38" s="1"/>
  <c r="J26" i="48"/>
  <c r="K10" i="38" s="1"/>
  <c r="J18" i="48"/>
  <c r="M10" i="38" s="1"/>
  <c r="I26" i="48"/>
  <c r="K8" i="38" s="1"/>
  <c r="H18" i="48"/>
  <c r="M9" i="38" s="1"/>
  <c r="C60" i="48"/>
  <c r="G60" i="48" s="1"/>
  <c r="F26" i="48"/>
  <c r="G6" i="48"/>
  <c r="E29" i="48"/>
  <c r="E31" i="48" s="1"/>
  <c r="H5" i="47"/>
  <c r="G5" i="47"/>
  <c r="F5" i="47"/>
  <c r="E5" i="47"/>
  <c r="D5" i="47"/>
  <c r="D5" i="35"/>
  <c r="G18" i="48" l="1"/>
  <c r="M5" i="38" s="1"/>
  <c r="G26" i="48"/>
  <c r="K5" i="38" s="1"/>
  <c r="G29" i="48"/>
  <c r="G31" i="48" s="1"/>
  <c r="L5" i="38" s="1"/>
  <c r="C31" i="48"/>
  <c r="L7" i="38" s="1"/>
  <c r="I10" i="36"/>
  <c r="H12" i="40"/>
  <c r="S18" i="27" l="1"/>
  <c r="R18" i="27"/>
  <c r="I23" i="27" l="1"/>
  <c r="I22" i="27"/>
  <c r="H25" i="27" l="1"/>
  <c r="J25" i="27" s="1"/>
  <c r="H24" i="27"/>
  <c r="J24" i="27" s="1"/>
  <c r="H23" i="27"/>
  <c r="J23" i="27" s="1"/>
  <c r="H22" i="27"/>
  <c r="J22" i="27" s="1"/>
  <c r="J18" i="27"/>
  <c r="H17" i="27"/>
  <c r="J17" i="27" s="1"/>
  <c r="H16" i="27"/>
  <c r="J16" i="27" s="1"/>
  <c r="H15" i="27"/>
  <c r="J15" i="27" s="1"/>
  <c r="J11" i="27"/>
  <c r="H13" i="27"/>
  <c r="J13" i="27" s="1"/>
  <c r="H10" i="27"/>
  <c r="J10" i="27" s="1"/>
  <c r="H9" i="27"/>
  <c r="J9" i="27" s="1"/>
  <c r="H8" i="27"/>
  <c r="J8" i="27" s="1"/>
  <c r="H32" i="27"/>
  <c r="J32" i="27" s="1"/>
  <c r="H38" i="27"/>
  <c r="J38" i="27" s="1"/>
  <c r="G6" i="36" l="1"/>
  <c r="F11" i="40" l="1"/>
  <c r="F10" i="40"/>
  <c r="F9" i="40"/>
  <c r="E20" i="37" l="1"/>
  <c r="C6" i="36"/>
  <c r="N9" i="30" l="1"/>
  <c r="N10" i="30"/>
  <c r="N11" i="30"/>
  <c r="D30" i="36" l="1"/>
  <c r="D7" i="36"/>
  <c r="V18" i="27" s="1"/>
  <c r="C61" i="37"/>
  <c r="H42" i="37"/>
  <c r="H64" i="37" s="1"/>
  <c r="E42" i="37"/>
  <c r="E64" i="37" s="1"/>
  <c r="I42" i="37" l="1"/>
  <c r="I64" i="37" s="1"/>
  <c r="F42" i="37"/>
  <c r="F64" i="37" s="1"/>
  <c r="G64" i="37" s="1"/>
  <c r="H20" i="37"/>
  <c r="F20" i="37"/>
  <c r="G39" i="37"/>
  <c r="I20" i="37" l="1"/>
  <c r="G20" i="37"/>
  <c r="S14" i="27"/>
  <c r="N14" i="27"/>
  <c r="O14" i="27" s="1"/>
  <c r="G25" i="37" l="1"/>
  <c r="G26" i="37"/>
  <c r="G27" i="37"/>
  <c r="G28" i="37"/>
  <c r="D13" i="29" l="1"/>
  <c r="T14" i="27"/>
  <c r="T19" i="27" s="1"/>
  <c r="T26" i="27"/>
  <c r="T32" i="27"/>
  <c r="V24" i="27" s="1"/>
  <c r="V22" i="27" s="1"/>
  <c r="V25" i="27" s="1"/>
  <c r="V23" i="27" s="1"/>
  <c r="V29" i="27" s="1"/>
  <c r="V15" i="27" s="1"/>
  <c r="V16" i="27" s="1"/>
  <c r="B8" i="36"/>
  <c r="H7" i="36"/>
  <c r="D6" i="36"/>
  <c r="G9" i="40"/>
  <c r="G10" i="40"/>
  <c r="G11" i="40"/>
  <c r="G12" i="40"/>
  <c r="J14" i="37"/>
  <c r="G14" i="37"/>
  <c r="C8" i="36"/>
  <c r="H6" i="36"/>
  <c r="F8" i="36"/>
  <c r="H5" i="36"/>
  <c r="D5" i="36"/>
  <c r="P30" i="27" l="1"/>
  <c r="P29" i="27"/>
  <c r="P31" i="27"/>
  <c r="P28" i="27"/>
  <c r="U23" i="27"/>
  <c r="P23" i="27"/>
  <c r="U25" i="27"/>
  <c r="P25" i="27"/>
  <c r="U17" i="27"/>
  <c r="P17" i="27"/>
  <c r="U22" i="27"/>
  <c r="P22" i="27"/>
  <c r="U13" i="27"/>
  <c r="P9" i="27"/>
  <c r="P10" i="27"/>
  <c r="P13" i="27"/>
  <c r="P12" i="27"/>
  <c r="P8" i="27"/>
  <c r="P11" i="27"/>
  <c r="U8" i="27"/>
  <c r="V13" i="27"/>
  <c r="V8" i="27"/>
  <c r="U15" i="27"/>
  <c r="P15" i="27"/>
  <c r="U18" i="27"/>
  <c r="P18" i="27"/>
  <c r="U24" i="27"/>
  <c r="P24" i="27"/>
  <c r="U16" i="27"/>
  <c r="P16" i="27"/>
  <c r="T39" i="27"/>
  <c r="B7" i="36" s="1"/>
  <c r="U28" i="27"/>
  <c r="U29" i="27"/>
  <c r="U11" i="27"/>
  <c r="U26" i="27"/>
  <c r="V31" i="27"/>
  <c r="U9" i="27"/>
  <c r="U30" i="27"/>
  <c r="V28" i="27"/>
  <c r="U10" i="27"/>
  <c r="U31" i="27"/>
  <c r="U12" i="27"/>
  <c r="V26" i="27"/>
  <c r="V30" i="27"/>
  <c r="V10" i="27"/>
  <c r="V11" i="27"/>
  <c r="V12" i="27"/>
  <c r="V9" i="27"/>
  <c r="E8" i="36"/>
  <c r="J12" i="40"/>
  <c r="L12" i="40"/>
  <c r="N12" i="40"/>
  <c r="G8" i="36"/>
  <c r="I8" i="36" s="1"/>
  <c r="C4" i="35"/>
  <c r="G5" i="35"/>
  <c r="F5" i="35"/>
  <c r="H4" i="36"/>
  <c r="D4" i="35"/>
  <c r="D4" i="36" s="1"/>
  <c r="H13" i="29"/>
  <c r="H15" i="29" s="1"/>
  <c r="D15" i="29"/>
  <c r="D17" i="36"/>
  <c r="E20" i="36"/>
  <c r="B27" i="36"/>
  <c r="C27" i="36"/>
  <c r="D27" i="36"/>
  <c r="E30" i="36"/>
  <c r="J18" i="30"/>
  <c r="C15" i="42"/>
  <c r="D14" i="41"/>
  <c r="E14" i="41" s="1"/>
  <c r="C16" i="41"/>
  <c r="I6" i="41" s="1"/>
  <c r="D7" i="41"/>
  <c r="E7" i="41" s="1"/>
  <c r="C9" i="41"/>
  <c r="H6" i="41" s="1"/>
  <c r="G12" i="30"/>
  <c r="G21" i="30" s="1"/>
  <c r="I23" i="29"/>
  <c r="H23" i="29"/>
  <c r="I19" i="29"/>
  <c r="H19" i="29"/>
  <c r="I15" i="29"/>
  <c r="G19" i="29"/>
  <c r="F19" i="29"/>
  <c r="G15" i="29"/>
  <c r="F15" i="29"/>
  <c r="E15" i="29"/>
  <c r="I73" i="37"/>
  <c r="H73" i="37"/>
  <c r="F73" i="37"/>
  <c r="E73" i="37"/>
  <c r="J56" i="37"/>
  <c r="J57" i="37"/>
  <c r="J58" i="37"/>
  <c r="J59" i="37"/>
  <c r="J60" i="37"/>
  <c r="J61" i="37"/>
  <c r="J62" i="37"/>
  <c r="J63" i="37"/>
  <c r="J65" i="37"/>
  <c r="J66" i="37"/>
  <c r="J67" i="37"/>
  <c r="J68" i="37"/>
  <c r="J69" i="37"/>
  <c r="J70" i="37"/>
  <c r="J71" i="37"/>
  <c r="J72" i="37"/>
  <c r="J55" i="37"/>
  <c r="E51" i="37"/>
  <c r="F51" i="37"/>
  <c r="H51" i="37"/>
  <c r="I51" i="37"/>
  <c r="I25" i="29" l="1"/>
  <c r="U32" i="27"/>
  <c r="H25" i="29"/>
  <c r="U14" i="27"/>
  <c r="U19" i="27" s="1"/>
  <c r="F25" i="29"/>
  <c r="V32" i="27"/>
  <c r="V14" i="27"/>
  <c r="V19" i="27" s="1"/>
  <c r="G25" i="29"/>
  <c r="E27" i="36"/>
  <c r="G73" i="37"/>
  <c r="J73" i="37"/>
  <c r="U39" i="27"/>
  <c r="V39" i="27"/>
  <c r="J33" i="37" l="1"/>
  <c r="J34" i="37"/>
  <c r="G51" i="37"/>
  <c r="E29" i="37" l="1"/>
  <c r="F29" i="37"/>
  <c r="F30" i="37"/>
  <c r="E30" i="37"/>
  <c r="J51" i="37"/>
  <c r="J50" i="37"/>
  <c r="G50" i="37"/>
  <c r="J49" i="37"/>
  <c r="G49" i="37"/>
  <c r="J48" i="37"/>
  <c r="G48" i="37"/>
  <c r="J47" i="37"/>
  <c r="G47" i="37"/>
  <c r="J46" i="37"/>
  <c r="G46" i="37"/>
  <c r="J45" i="37"/>
  <c r="G45" i="37"/>
  <c r="J44" i="37"/>
  <c r="G44" i="37"/>
  <c r="J43" i="37"/>
  <c r="G43" i="37"/>
  <c r="J41" i="37"/>
  <c r="G41" i="37"/>
  <c r="J40" i="37"/>
  <c r="G40" i="37"/>
  <c r="J39" i="37"/>
  <c r="J38" i="37"/>
  <c r="G38" i="37"/>
  <c r="J37" i="37"/>
  <c r="G37" i="37"/>
  <c r="J36" i="37"/>
  <c r="G36" i="37"/>
  <c r="J35" i="37"/>
  <c r="G35" i="37"/>
  <c r="G34" i="37"/>
  <c r="G33" i="37"/>
  <c r="I31" i="37"/>
  <c r="H31" i="37"/>
  <c r="I30" i="37"/>
  <c r="H30" i="37"/>
  <c r="I29" i="37"/>
  <c r="H29" i="37"/>
  <c r="E31" i="37"/>
  <c r="F31" i="37"/>
  <c r="J12" i="37"/>
  <c r="J13" i="37"/>
  <c r="J15" i="37"/>
  <c r="J16" i="37"/>
  <c r="J17" i="37"/>
  <c r="J18" i="37"/>
  <c r="J19" i="37"/>
  <c r="J21" i="37"/>
  <c r="J22" i="37"/>
  <c r="J23" i="37"/>
  <c r="J24" i="37"/>
  <c r="J25" i="37"/>
  <c r="J26" i="37"/>
  <c r="J27" i="37"/>
  <c r="J28" i="37"/>
  <c r="J11" i="37"/>
  <c r="G12" i="37"/>
  <c r="G13" i="37"/>
  <c r="G15" i="37"/>
  <c r="G16" i="37"/>
  <c r="G17" i="37"/>
  <c r="G18" i="37"/>
  <c r="G19" i="37"/>
  <c r="G21" i="37"/>
  <c r="G22" i="37"/>
  <c r="G23" i="37"/>
  <c r="G24" i="37"/>
  <c r="G11" i="37"/>
  <c r="E7" i="37"/>
  <c r="E6" i="37"/>
  <c r="E5" i="37"/>
  <c r="E47" i="36"/>
  <c r="E48" i="36"/>
  <c r="E49" i="36"/>
  <c r="E50" i="36"/>
  <c r="E51" i="36"/>
  <c r="E52" i="36"/>
  <c r="E53" i="36"/>
  <c r="D54" i="36"/>
  <c r="C46" i="36"/>
  <c r="C54" i="36" s="1"/>
  <c r="B46" i="36"/>
  <c r="D37" i="36"/>
  <c r="C5" i="35"/>
  <c r="B54" i="36" l="1"/>
  <c r="E54" i="36"/>
  <c r="G30" i="37"/>
  <c r="G31" i="37"/>
  <c r="J29" i="37"/>
  <c r="J31" i="37"/>
  <c r="E46" i="36"/>
  <c r="J30" i="37"/>
  <c r="G29" i="37"/>
  <c r="O18" i="30"/>
  <c r="N18" i="30"/>
  <c r="M18" i="30"/>
  <c r="L18" i="30"/>
  <c r="K18" i="30"/>
  <c r="O15" i="30"/>
  <c r="N15" i="30"/>
  <c r="O14" i="30"/>
  <c r="N14" i="30"/>
  <c r="M12" i="30"/>
  <c r="M20" i="30" s="1"/>
  <c r="L12" i="30"/>
  <c r="L20" i="30" s="1"/>
  <c r="F9" i="36" s="1"/>
  <c r="I9" i="36" s="1"/>
  <c r="K12" i="30"/>
  <c r="K20" i="30" s="1"/>
  <c r="J12" i="30"/>
  <c r="J20" i="30" s="1"/>
  <c r="B9" i="36" s="1"/>
  <c r="O11" i="30"/>
  <c r="O10" i="30"/>
  <c r="O9" i="30"/>
  <c r="H12" i="30"/>
  <c r="H21" i="30" s="1"/>
  <c r="I12" i="30"/>
  <c r="I21" i="30" s="1"/>
  <c r="S26" i="27"/>
  <c r="S19" i="27"/>
  <c r="H14" i="27"/>
  <c r="E74" i="37" l="1"/>
  <c r="E75" i="37"/>
  <c r="E9" i="36"/>
  <c r="O12" i="30"/>
  <c r="O20" i="30" s="1"/>
  <c r="N12" i="30"/>
  <c r="N20" i="30" s="1"/>
  <c r="E26" i="27"/>
  <c r="D18" i="36" s="1"/>
  <c r="H75" i="37" l="1"/>
  <c r="H74" i="37"/>
  <c r="I52" i="37"/>
  <c r="I53" i="37"/>
  <c r="D14" i="27"/>
  <c r="D19" i="27" s="1"/>
  <c r="B16" i="36" s="1"/>
  <c r="I75" i="37" l="1"/>
  <c r="J75" i="37" s="1"/>
  <c r="I74" i="37"/>
  <c r="J74" i="37" s="1"/>
  <c r="J64" i="37"/>
  <c r="G23" i="29"/>
  <c r="F23" i="29"/>
  <c r="E23" i="29"/>
  <c r="D23" i="29"/>
  <c r="E19" i="29"/>
  <c r="E25" i="29" s="1"/>
  <c r="D19" i="29"/>
  <c r="D25" i="29" s="1"/>
  <c r="S32" i="27"/>
  <c r="R32" i="27"/>
  <c r="Q32" i="27"/>
  <c r="N32" i="27"/>
  <c r="L32" i="27"/>
  <c r="B37" i="36" s="1"/>
  <c r="K32" i="27"/>
  <c r="F32" i="27"/>
  <c r="C17" i="36" s="1"/>
  <c r="E17" i="36" s="1"/>
  <c r="D32" i="27"/>
  <c r="B17" i="36" s="1"/>
  <c r="R26" i="27"/>
  <c r="Q26" i="27"/>
  <c r="N26" i="27"/>
  <c r="C38" i="36" s="1"/>
  <c r="M26" i="27"/>
  <c r="L26" i="27"/>
  <c r="B38" i="36" s="1"/>
  <c r="J26" i="27"/>
  <c r="C28" i="36" s="1"/>
  <c r="I26" i="27"/>
  <c r="D28" i="36" s="1"/>
  <c r="H26" i="27"/>
  <c r="B28" i="36" s="1"/>
  <c r="F26" i="27"/>
  <c r="C18" i="36" s="1"/>
  <c r="E18" i="36" s="1"/>
  <c r="D26" i="27"/>
  <c r="B18" i="36" s="1"/>
  <c r="O25" i="27"/>
  <c r="K25" i="27"/>
  <c r="O24" i="27"/>
  <c r="K24" i="27"/>
  <c r="G24" i="27"/>
  <c r="O23" i="27"/>
  <c r="K23" i="27"/>
  <c r="G23" i="27"/>
  <c r="O22" i="27"/>
  <c r="K22" i="27"/>
  <c r="G22" i="27"/>
  <c r="M19" i="27"/>
  <c r="I19" i="27"/>
  <c r="D26" i="36" s="1"/>
  <c r="E19" i="27"/>
  <c r="D16" i="36" s="1"/>
  <c r="D19" i="36" s="1"/>
  <c r="D21" i="36" s="1"/>
  <c r="O17" i="27"/>
  <c r="K17" i="27"/>
  <c r="G17" i="27"/>
  <c r="O16" i="27"/>
  <c r="K16" i="27"/>
  <c r="G16" i="27"/>
  <c r="O15" i="27"/>
  <c r="K15" i="27"/>
  <c r="G15" i="27"/>
  <c r="R14" i="27"/>
  <c r="Q14" i="27"/>
  <c r="Q19" i="27" s="1"/>
  <c r="L14" i="27"/>
  <c r="J14" i="27"/>
  <c r="H19" i="27"/>
  <c r="B26" i="36" s="1"/>
  <c r="F14" i="27"/>
  <c r="G14" i="27" s="1"/>
  <c r="J19" i="27" l="1"/>
  <c r="C26" i="36" s="1"/>
  <c r="K14" i="27"/>
  <c r="M39" i="27"/>
  <c r="J4" i="36" s="1"/>
  <c r="L19" i="27"/>
  <c r="L39" i="27" s="1"/>
  <c r="B4" i="35" s="1"/>
  <c r="Q39" i="27"/>
  <c r="D29" i="36"/>
  <c r="D31" i="36" s="1"/>
  <c r="J39" i="27"/>
  <c r="B19" i="36"/>
  <c r="B21" i="36" s="1"/>
  <c r="O32" i="27"/>
  <c r="C37" i="36"/>
  <c r="E37" i="36" s="1"/>
  <c r="S39" i="27"/>
  <c r="F5" i="36" s="1"/>
  <c r="I5" i="36" s="1"/>
  <c r="D8" i="41"/>
  <c r="E8" i="41" s="1"/>
  <c r="D15" i="41"/>
  <c r="E15" i="41" s="1"/>
  <c r="D38" i="36"/>
  <c r="E38" i="36" s="1"/>
  <c r="B29" i="36"/>
  <c r="B31" i="36" s="1"/>
  <c r="E28" i="36"/>
  <c r="D6" i="41"/>
  <c r="D13" i="41"/>
  <c r="D36" i="36"/>
  <c r="N19" i="27"/>
  <c r="E26" i="36"/>
  <c r="C29" i="36"/>
  <c r="G32" i="27"/>
  <c r="H39" i="27"/>
  <c r="G26" i="27"/>
  <c r="I39" i="27"/>
  <c r="O26" i="27"/>
  <c r="R19" i="27"/>
  <c r="P26" i="27"/>
  <c r="P32" i="27"/>
  <c r="K26" i="27"/>
  <c r="F19" i="27"/>
  <c r="C16" i="36" s="1"/>
  <c r="K19" i="27"/>
  <c r="P14" i="27"/>
  <c r="P19" i="27" s="1"/>
  <c r="K39" i="27" l="1"/>
  <c r="B36" i="36"/>
  <c r="B39" i="36" s="1"/>
  <c r="B41" i="36" s="1"/>
  <c r="C36" i="36"/>
  <c r="E36" i="36" s="1"/>
  <c r="N39" i="27"/>
  <c r="F7" i="36"/>
  <c r="I7" i="36" s="1"/>
  <c r="D39" i="36"/>
  <c r="D41" i="36" s="1"/>
  <c r="E13" i="41"/>
  <c r="D16" i="41"/>
  <c r="E16" i="41" s="1"/>
  <c r="E6" i="41"/>
  <c r="D9" i="41"/>
  <c r="E9" i="41" s="1"/>
  <c r="E7" i="36"/>
  <c r="O19" i="27"/>
  <c r="C31" i="36"/>
  <c r="E31" i="36" s="1"/>
  <c r="E29" i="36"/>
  <c r="N3" i="36" s="1"/>
  <c r="E16" i="36"/>
  <c r="C19" i="36"/>
  <c r="P39" i="27"/>
  <c r="G19" i="27"/>
  <c r="F12" i="30"/>
  <c r="F21" i="30" s="1"/>
  <c r="E12" i="30"/>
  <c r="E21" i="30" s="1"/>
  <c r="D12" i="30"/>
  <c r="D21" i="30" s="1"/>
  <c r="C39" i="36" l="1"/>
  <c r="E39" i="36"/>
  <c r="C41" i="36"/>
  <c r="E41" i="36" s="1"/>
  <c r="M3" i="36" s="1"/>
  <c r="C21" i="36"/>
  <c r="E21" i="36" s="1"/>
  <c r="E19" i="36"/>
  <c r="K38" i="27"/>
  <c r="R39" i="27" l="1"/>
  <c r="B5" i="36" s="1"/>
  <c r="E5" i="36" l="1"/>
  <c r="B5" i="35"/>
  <c r="E5" i="35" s="1"/>
  <c r="D39" i="27"/>
  <c r="E39" i="27"/>
  <c r="F39" i="27"/>
  <c r="B4" i="36" l="1"/>
  <c r="B6" i="36" s="1"/>
  <c r="E4" i="35"/>
  <c r="F4" i="36"/>
  <c r="I4" i="36" s="1"/>
  <c r="G39" i="27"/>
  <c r="O39" i="27"/>
  <c r="F6" i="36" l="1"/>
  <c r="I6" i="36" s="1"/>
  <c r="E4" i="36"/>
  <c r="E6" i="36"/>
  <c r="E53" i="37" l="1"/>
  <c r="E52" i="37"/>
  <c r="F52" i="37"/>
  <c r="G42" i="37" l="1"/>
  <c r="G52" i="37"/>
  <c r="H53" i="37"/>
  <c r="J53" i="37" s="1"/>
  <c r="H52" i="37"/>
  <c r="J52" i="37" s="1"/>
  <c r="J42" i="37"/>
  <c r="F53" i="37"/>
  <c r="G53" i="37" s="1"/>
  <c r="F75" i="37" l="1"/>
  <c r="G75" i="37" s="1"/>
  <c r="F74" i="37"/>
  <c r="G74" i="37" s="1"/>
</calcChain>
</file>

<file path=xl/sharedStrings.xml><?xml version="1.0" encoding="utf-8"?>
<sst xmlns="http://schemas.openxmlformats.org/spreadsheetml/2006/main" count="832" uniqueCount="369">
  <si>
    <t>Reporting Period</t>
  </si>
  <si>
    <t>FY23-Q4</t>
  </si>
  <si>
    <t>Program/Utility Information</t>
  </si>
  <si>
    <t>Participants</t>
  </si>
  <si>
    <r>
      <t xml:space="preserve">Budget &amp; Expenses </t>
    </r>
    <r>
      <rPr>
        <b/>
        <sz val="11"/>
        <color theme="1"/>
        <rFont val="Calibri"/>
        <family val="2"/>
        <scheme val="minor"/>
      </rPr>
      <t>($000)</t>
    </r>
  </si>
  <si>
    <t>Energy Savings</t>
  </si>
  <si>
    <t>Utility</t>
  </si>
  <si>
    <t>Sector</t>
  </si>
  <si>
    <t>Program</t>
  </si>
  <si>
    <t>Sub-Program</t>
  </si>
  <si>
    <t>YTD Reported Participation Number</t>
  </si>
  <si>
    <t>Annual Budget</t>
  </si>
  <si>
    <t>YTD Reported Incentive Costs</t>
  </si>
  <si>
    <t>YTD Reported Program Costs</t>
  </si>
  <si>
    <t>YTD Annual Electric Savings
(MWh)</t>
  </si>
  <si>
    <t>YTD Lifetime Electric Savings
(MWh)</t>
  </si>
  <si>
    <t>YTD Peak Demand Electric Savings
(MW)</t>
  </si>
  <si>
    <t>YTD Annual Gas Savings
(Dtherm)</t>
  </si>
  <si>
    <t>YTD Lifetime Gas Savings
(Dtherm)</t>
  </si>
  <si>
    <t>ACE</t>
  </si>
  <si>
    <t>Residential</t>
  </si>
  <si>
    <t>Efficient Products</t>
  </si>
  <si>
    <t>HVAC</t>
  </si>
  <si>
    <t>Appliance Rebates</t>
  </si>
  <si>
    <t>Appliance Recycling</t>
  </si>
  <si>
    <t>Online Marketplace</t>
  </si>
  <si>
    <t>Food Banks</t>
  </si>
  <si>
    <t>Others - Lighting</t>
  </si>
  <si>
    <t>Existing Homes</t>
  </si>
  <si>
    <t>HPwES</t>
  </si>
  <si>
    <t>Quick Home Energy Check-Up</t>
  </si>
  <si>
    <t>Moderate Income Weatherization</t>
  </si>
  <si>
    <t>Home Energy Education &amp; Management</t>
  </si>
  <si>
    <t>Behavioral</t>
  </si>
  <si>
    <t>Commercial</t>
  </si>
  <si>
    <t>Direct Install</t>
  </si>
  <si>
    <t>Energy Solutions for Business</t>
  </si>
  <si>
    <t>Prescriptive/Custom</t>
  </si>
  <si>
    <t>Energy Management</t>
  </si>
  <si>
    <t>Engineered Solutions</t>
  </si>
  <si>
    <t>Multi-Family</t>
  </si>
  <si>
    <t>Comfort Partners</t>
  </si>
  <si>
    <t>Supportive costs outside portfolio</t>
  </si>
  <si>
    <t>Utility-Administered Programs ex-ante energy savings 
(MWh)</t>
  </si>
  <si>
    <t>Comfort Partners ex-ante energy savings  (MWh)</t>
  </si>
  <si>
    <r>
      <t>Other Programs ex-ante energy savings  (MWh)</t>
    </r>
    <r>
      <rPr>
        <vertAlign val="superscript"/>
        <sz val="9"/>
        <color rgb="FFFFFFFF"/>
        <rFont val="Calibri"/>
        <family val="2"/>
        <scheme val="minor"/>
      </rPr>
      <t>1</t>
    </r>
  </si>
  <si>
    <r>
      <t>Total ex-ante energy savings</t>
    </r>
    <r>
      <rPr>
        <vertAlign val="superscript"/>
        <sz val="9"/>
        <color rgb="FFFFFFFF"/>
        <rFont val="Calibri"/>
        <family val="2"/>
        <scheme val="minor"/>
      </rPr>
      <t>3</t>
    </r>
    <r>
      <rPr>
        <sz val="9"/>
        <color indexed="9"/>
        <rFont val="Calibri"/>
        <family val="2"/>
        <scheme val="minor"/>
      </rPr>
      <t xml:space="preserve">
(MWh)</t>
    </r>
  </si>
  <si>
    <r>
      <rPr>
        <sz val="9"/>
        <color rgb="FFFFFFFF"/>
        <rFont val="Calibri"/>
        <family val="2"/>
      </rPr>
      <t>Compliance Baseline  (MWh)</t>
    </r>
    <r>
      <rPr>
        <vertAlign val="superscript"/>
        <sz val="9"/>
        <color rgb="FFFFFFFF"/>
        <rFont val="Calibri"/>
        <family val="2"/>
      </rPr>
      <t>2</t>
    </r>
  </si>
  <si>
    <t>Annual Target
 (%)</t>
  </si>
  <si>
    <t>Annual Target 
(MWh)</t>
  </si>
  <si>
    <t xml:space="preserve">Percent of Annual Target 
(%) </t>
  </si>
  <si>
    <t>(A)</t>
  </si>
  <si>
    <t>(B)</t>
  </si>
  <si>
    <t xml:space="preserve">(C) </t>
  </si>
  <si>
    <t xml:space="preserve">(D) = (A)+(B)+(C) </t>
  </si>
  <si>
    <t>(E)</t>
  </si>
  <si>
    <t>(F)</t>
  </si>
  <si>
    <t>(G) = (E)*(F)</t>
  </si>
  <si>
    <t>(H) = (D) / (G)</t>
  </si>
  <si>
    <t>Quarter</t>
  </si>
  <si>
    <t>YTD</t>
  </si>
  <si>
    <r>
      <rPr>
        <vertAlign val="superscript"/>
        <sz val="9"/>
        <color theme="1"/>
        <rFont val="Times New Roman"/>
        <family val="1"/>
      </rPr>
      <t>1</t>
    </r>
    <r>
      <rPr>
        <sz val="9"/>
        <color theme="1"/>
        <rFont val="Times New Roman"/>
        <family val="1"/>
      </rPr>
      <t xml:space="preserve">Other Programs include merger/legacy-committed EE programs – QHEC and Behavior. Note: Behavioral was only merger funded through Q2 of PY23.
</t>
    </r>
    <r>
      <rPr>
        <vertAlign val="superscript"/>
        <sz val="9"/>
        <color theme="1"/>
        <rFont val="Times New Roman"/>
        <family val="1"/>
      </rPr>
      <t xml:space="preserve">2 </t>
    </r>
    <r>
      <rPr>
        <sz val="9"/>
        <color theme="1"/>
        <rFont val="Times New Roman"/>
        <family val="1"/>
      </rPr>
      <t xml:space="preserve">Includes sales as reported on FERC Form-1, as adjusted for the given sales period (planning year).
</t>
    </r>
    <r>
      <rPr>
        <vertAlign val="superscript"/>
        <sz val="9"/>
        <color theme="1"/>
        <rFont val="Times New Roman"/>
        <family val="1"/>
      </rPr>
      <t>3</t>
    </r>
    <r>
      <rPr>
        <sz val="9"/>
        <color theme="1"/>
        <rFont val="Times New Roman"/>
        <family val="1"/>
      </rPr>
      <t xml:space="preserve">Pursuant to paragraph 16(e)(i) of the July 7, 2022 Stipulation and Agreement among the Utilities, Staff, and Rate Counsel, “the Utilities may apply energy savings in excess of annual compliance goals (‘Carryover Savings’) toward goals and QPIs for Program Years 2023, 2024, and 2025.”  The Board adopted the Stipulation and Agreement in its Order Approving Stipulation entered on August 17, 2022, in BPU Docket Nos. QO19010040, EO20090621, GO20090619, EO20090620, GO20090622, GO18101112, EO18101113, EO20090623, and GO20090618. </t>
    </r>
  </si>
  <si>
    <t>Table 2 – Quantitative Performance Indicators</t>
  </si>
  <si>
    <t>Annual Energy Savings</t>
  </si>
  <si>
    <t>Expenditures</t>
  </si>
  <si>
    <t>Year to Date</t>
  </si>
  <si>
    <t>Utility-Administered Plan Year Results</t>
  </si>
  <si>
    <t>Comfort Partners Plan Year Results</t>
  </si>
  <si>
    <t>Other Programs Plan Year Results</t>
  </si>
  <si>
    <t>Total Plan Year Results</t>
  </si>
  <si>
    <t>Utility-Administered Plan Year Results YTD</t>
  </si>
  <si>
    <t>Comfort Partners Plan Year Results YTD</t>
  </si>
  <si>
    <t>Other Programs Plan Year Results YTD</t>
  </si>
  <si>
    <r>
      <t>Annual Target</t>
    </r>
    <r>
      <rPr>
        <vertAlign val="superscript"/>
        <sz val="9"/>
        <color rgb="FFFFFFFF"/>
        <rFont val="Calibri"/>
        <family val="2"/>
        <scheme val="minor"/>
      </rPr>
      <t>1</t>
    </r>
  </si>
  <si>
    <t>Percent of Annual Target Achieved</t>
  </si>
  <si>
    <t>Annual Energy Savings (MWh)</t>
  </si>
  <si>
    <t>Lifetime Savings (MWh)</t>
  </si>
  <si>
    <t>Lifetime Persisting Demand Savings (MW-year)</t>
  </si>
  <si>
    <t>Annual Demand Savings (MW)</t>
  </si>
  <si>
    <t>Low/Moderate-Income Lifetime Savings (MWh)</t>
  </si>
  <si>
    <t>Small Commercial Lifetime Savings (MWh)</t>
  </si>
  <si>
    <t>Net Present Value of Utility Cost Test Net Benefits ($)</t>
  </si>
  <si>
    <r>
      <rPr>
        <vertAlign val="superscript"/>
        <sz val="9"/>
        <color rgb="FF000000"/>
        <rFont val="Times New Roman"/>
        <family val="1"/>
      </rPr>
      <t>1</t>
    </r>
    <r>
      <rPr>
        <sz val="9"/>
        <color rgb="FF000000"/>
        <rFont val="Times New Roman"/>
        <family val="1"/>
      </rPr>
      <t xml:space="preserve"> Annual Targets reflect estimated impacts as filed by the Company's 2021-2024 Clean Energy Filing
</t>
    </r>
    <r>
      <rPr>
        <vertAlign val="superscript"/>
        <sz val="9"/>
        <color rgb="FF000000"/>
        <rFont val="Times New Roman"/>
        <family val="1"/>
      </rPr>
      <t xml:space="preserve">
</t>
    </r>
  </si>
  <si>
    <t>Table 3 – Sector-Level Participation</t>
  </si>
  <si>
    <r>
      <t>Sector</t>
    </r>
    <r>
      <rPr>
        <vertAlign val="superscript"/>
        <sz val="9"/>
        <color indexed="9"/>
        <rFont val="Calibri"/>
        <family val="2"/>
        <scheme val="minor"/>
      </rPr>
      <t>1</t>
    </r>
  </si>
  <si>
    <t>Quarter Participants</t>
  </si>
  <si>
    <t>YTD Participants</t>
  </si>
  <si>
    <t>Annual Forecasted Participants</t>
  </si>
  <si>
    <t>Percent of Annual Forecast</t>
  </si>
  <si>
    <t>Multifamily</t>
  </si>
  <si>
    <r>
      <t>C&amp;I</t>
    </r>
    <r>
      <rPr>
        <vertAlign val="superscript"/>
        <sz val="11"/>
        <color theme="1"/>
        <rFont val="Calibri"/>
        <family val="2"/>
        <scheme val="minor"/>
      </rPr>
      <t>2</t>
    </r>
  </si>
  <si>
    <t>Reported Totals for Utility Administered Programs</t>
  </si>
  <si>
    <r>
      <t>Comfort Partners</t>
    </r>
    <r>
      <rPr>
        <vertAlign val="superscript"/>
        <sz val="11"/>
        <color theme="1"/>
        <rFont val="Calibri"/>
        <family val="2"/>
        <scheme val="minor"/>
      </rPr>
      <t>3</t>
    </r>
  </si>
  <si>
    <t>Utility Total</t>
  </si>
  <si>
    <r>
      <rPr>
        <vertAlign val="superscript"/>
        <sz val="9"/>
        <color theme="1"/>
        <rFont val="Times New Roman"/>
        <family val="1"/>
      </rPr>
      <t>1</t>
    </r>
    <r>
      <rPr>
        <sz val="9"/>
        <color theme="1"/>
        <rFont val="Times New Roman"/>
        <family val="1"/>
      </rPr>
      <t xml:space="preserve">Note that these numbers are totals across all programs within a sector.  The appendix shows the participation numbers for individual programs.  Participation from merger-funded programming is not omitted from these values.
</t>
    </r>
    <r>
      <rPr>
        <vertAlign val="superscript"/>
        <sz val="9"/>
        <color theme="1"/>
        <rFont val="Times New Roman"/>
        <family val="1"/>
      </rPr>
      <t xml:space="preserve">2 </t>
    </r>
    <r>
      <rPr>
        <sz val="9"/>
        <color theme="1"/>
        <rFont val="Times New Roman"/>
        <family val="1"/>
      </rPr>
      <t xml:space="preserve">The participant definition for the Prescriptive/Custom component of the Energy Solutions for Business program as agreed upon by the joint utilities represents the count of projects while the forecast established in ACE's filed plan represents the count of measures.
</t>
    </r>
    <r>
      <rPr>
        <vertAlign val="superscript"/>
        <sz val="9"/>
        <color theme="1"/>
        <rFont val="Times New Roman"/>
        <family val="1"/>
      </rPr>
      <t xml:space="preserve">3 </t>
    </r>
    <r>
      <rPr>
        <sz val="9"/>
        <color theme="1"/>
        <rFont val="Times New Roman"/>
        <family val="1"/>
      </rPr>
      <t>Comfort Partners, the primary program serving low-income customers, is co-managed by the BPU’s Division of Clean Energy in conjunction with ACE and the other investor-owned electric and gas utility companies.</t>
    </r>
  </si>
  <si>
    <t>Table 4 – Sector-Level Expenditures</t>
  </si>
  <si>
    <r>
      <t>Expenditures</t>
    </r>
    <r>
      <rPr>
        <vertAlign val="superscript"/>
        <sz val="9"/>
        <color indexed="9"/>
        <rFont val="Calibri"/>
        <family val="2"/>
        <scheme val="minor"/>
      </rPr>
      <t>1</t>
    </r>
  </si>
  <si>
    <t>Quarter Expenditures ($000)</t>
  </si>
  <si>
    <t>YTD Expenditures ($000)</t>
  </si>
  <si>
    <t>Annual Budget Expenditures ($000)</t>
  </si>
  <si>
    <t>Percent of Annual Budget</t>
  </si>
  <si>
    <t>C&amp;I</t>
  </si>
  <si>
    <r>
      <rPr>
        <vertAlign val="superscript"/>
        <sz val="9"/>
        <color rgb="FF000000"/>
        <rFont val="Times New Roman"/>
        <family val="1"/>
      </rPr>
      <t xml:space="preserve">1 </t>
    </r>
    <r>
      <rPr>
        <sz val="9"/>
        <color rgb="FF000000"/>
        <rFont val="Times New Roman"/>
        <family val="1"/>
      </rPr>
      <t>Expenditures include rebates, incentives, and loans, as well as program administration costs allocated across programs.  Expenditures from merger-funded programming and Supportive Costs Outside Portfolio are omitted from these values.</t>
    </r>
  </si>
  <si>
    <t>Table 5 – Sector-Level Energy Savings</t>
  </si>
  <si>
    <r>
      <t>Annual Energy Savings</t>
    </r>
    <r>
      <rPr>
        <vertAlign val="superscript"/>
        <sz val="9"/>
        <color indexed="9"/>
        <rFont val="Calibri"/>
        <family val="2"/>
        <scheme val="minor"/>
      </rPr>
      <t>1</t>
    </r>
  </si>
  <si>
    <t>Quarter Retail (MWh)</t>
  </si>
  <si>
    <t>YTD Retail (MWh)</t>
  </si>
  <si>
    <t>Annual Target Retail Savings (MWh)</t>
  </si>
  <si>
    <t>Percent of Annual Target</t>
  </si>
  <si>
    <t>N/A</t>
  </si>
  <si>
    <r>
      <rPr>
        <vertAlign val="superscript"/>
        <sz val="9"/>
        <color rgb="FF000000"/>
        <rFont val="Times New Roman"/>
        <family val="1"/>
      </rPr>
      <t xml:space="preserve">1 </t>
    </r>
    <r>
      <rPr>
        <sz val="9"/>
        <color rgb="FF000000"/>
        <rFont val="Times New Roman"/>
        <family val="1"/>
      </rPr>
      <t>Annal energy savings represent the total expected annual savings from all energy efficiency measures within each sector and includes savings from merger-funded programs.</t>
    </r>
  </si>
  <si>
    <t>Table 6 – Annual Costs and Budget Variances by Category</t>
  </si>
  <si>
    <r>
      <t>Total Utility EE/PDR</t>
    </r>
    <r>
      <rPr>
        <vertAlign val="superscript"/>
        <sz val="9"/>
        <color rgb="FFFFFFFF"/>
        <rFont val="Calibri"/>
        <family val="2"/>
        <scheme val="minor"/>
      </rPr>
      <t>1</t>
    </r>
  </si>
  <si>
    <t>Quarter Reported ($000)</t>
  </si>
  <si>
    <t>YTD Reported ($000)</t>
  </si>
  <si>
    <t>Full Year Budget ($000)</t>
  </si>
  <si>
    <r>
      <t>Percent of Annual Budget Spent</t>
    </r>
    <r>
      <rPr>
        <vertAlign val="superscript"/>
        <sz val="9"/>
        <color rgb="FFFFFFFF"/>
        <rFont val="Calibri"/>
        <family val="2"/>
        <scheme val="minor"/>
      </rPr>
      <t>2</t>
    </r>
  </si>
  <si>
    <t>Capital Costs</t>
  </si>
  <si>
    <t>Utility Administration</t>
  </si>
  <si>
    <t>Marketing</t>
  </si>
  <si>
    <t>Outside Services</t>
  </si>
  <si>
    <t>Rebates</t>
  </si>
  <si>
    <t>No- or Low-Interest Loans</t>
  </si>
  <si>
    <t>Evaluation, Measurement &amp; Verification ("EM&amp;V")</t>
  </si>
  <si>
    <t>Inspections &amp; Quality Control</t>
  </si>
  <si>
    <r>
      <rPr>
        <vertAlign val="superscript"/>
        <sz val="9"/>
        <color rgb="FF000000"/>
        <rFont val="Times New Roman"/>
        <family val="1"/>
      </rPr>
      <t>1</t>
    </r>
    <r>
      <rPr>
        <sz val="9"/>
        <color rgb="FF000000"/>
        <rFont val="Times New Roman"/>
        <family val="1"/>
      </rPr>
      <t xml:space="preserve"> Categories herein align to ACE’s EE plan as approved by the Board.
</t>
    </r>
    <r>
      <rPr>
        <vertAlign val="superscript"/>
        <sz val="9"/>
        <color rgb="FF000000"/>
        <rFont val="Times New Roman"/>
        <family val="1"/>
      </rPr>
      <t xml:space="preserve">2 </t>
    </r>
    <r>
      <rPr>
        <sz val="9"/>
        <color rgb="FF000000"/>
        <rFont val="Times New Roman"/>
        <family val="1"/>
      </rPr>
      <t>While annual budgets are used for informational purposes, the portfolio is managed to a total not-to-exceed amount established by cost category for the full triennial program cycle.</t>
    </r>
  </si>
  <si>
    <t>Table 7 – Equity Performance</t>
  </si>
  <si>
    <t>Territory-Level Benchmarks</t>
  </si>
  <si>
    <r>
      <t>Overburdened</t>
    </r>
    <r>
      <rPr>
        <vertAlign val="superscript"/>
        <sz val="9"/>
        <color indexed="9"/>
        <rFont val="Calibri"/>
        <family val="2"/>
        <scheme val="minor"/>
      </rPr>
      <t>1</t>
    </r>
  </si>
  <si>
    <t>Non-Overburdened</t>
  </si>
  <si>
    <r>
      <t>%OBC</t>
    </r>
    <r>
      <rPr>
        <vertAlign val="superscript"/>
        <sz val="9"/>
        <color rgb="FFFFFFFF"/>
        <rFont val="Calibri"/>
        <family val="2"/>
        <scheme val="minor"/>
      </rPr>
      <t>2</t>
    </r>
  </si>
  <si>
    <t>Population</t>
  </si>
  <si>
    <t># of Household Accounts</t>
  </si>
  <si>
    <t># of Business Accounts</t>
  </si>
  <si>
    <t>Total Annual Energy (MWh)</t>
  </si>
  <si>
    <t>Programs</t>
  </si>
  <si>
    <t>Sub Program or Offering</t>
  </si>
  <si>
    <t>Type of Program/Offering</t>
  </si>
  <si>
    <r>
      <t>Quarter Overburdened</t>
    </r>
    <r>
      <rPr>
        <vertAlign val="superscript"/>
        <sz val="9"/>
        <color indexed="9"/>
        <rFont val="Calibri"/>
        <family val="2"/>
        <scheme val="minor"/>
      </rPr>
      <t>1</t>
    </r>
  </si>
  <si>
    <t>Quarter Non-Overburdened</t>
  </si>
  <si>
    <r>
      <t>Annual Overburdened</t>
    </r>
    <r>
      <rPr>
        <vertAlign val="superscript"/>
        <sz val="9"/>
        <color indexed="9"/>
        <rFont val="Calibri"/>
        <family val="2"/>
        <scheme val="minor"/>
      </rPr>
      <t>1</t>
    </r>
  </si>
  <si>
    <t>Annual Non-Overburdened</t>
  </si>
  <si>
    <t>Residential - Efficient Products</t>
  </si>
  <si>
    <t>Core</t>
  </si>
  <si>
    <t>Residential - Existing Homes</t>
  </si>
  <si>
    <t>Home Performance with Energy Star</t>
  </si>
  <si>
    <t>Additional</t>
  </si>
  <si>
    <t>Res - Home Energy Education &amp; Management</t>
  </si>
  <si>
    <t xml:space="preserve"> </t>
  </si>
  <si>
    <t>C&amp;I Direct Install</t>
  </si>
  <si>
    <t>Total Core Participation</t>
  </si>
  <si>
    <t>Total Additional Participation</t>
  </si>
  <si>
    <t>Total Participation</t>
  </si>
  <si>
    <t>Total Core Annual Energy Savings</t>
  </si>
  <si>
    <t>Total Additional Annual Energy Savings</t>
  </si>
  <si>
    <t>Total Annual Energy Savings</t>
  </si>
  <si>
    <t>Lifetime Energy Savings (MWh)</t>
  </si>
  <si>
    <t>Total Core Lifetime Energy Savings</t>
  </si>
  <si>
    <t>Total Additional Lifetime Energy Savings</t>
  </si>
  <si>
    <t>Total Lifetime Energy Savings</t>
  </si>
  <si>
    <r>
      <rPr>
        <vertAlign val="superscript"/>
        <sz val="9"/>
        <color theme="1"/>
        <rFont val="Times New Roman"/>
        <family val="1"/>
      </rPr>
      <t>1</t>
    </r>
    <r>
      <rPr>
        <sz val="9"/>
        <color theme="1"/>
        <rFont val="Times New Roman"/>
        <family val="1"/>
      </rPr>
      <t xml:space="preserve">Across all programs, subprograms, or offerings, participation/savings are classified as either in a low-income Environmental Justice Overburdened Community census block or not based on the program participant’s address. Overburdened Community census blocks were developed and defined by the NJ Department of Environmental Protection (www.nj.gov/dep/ej/communities.html). 
</t>
    </r>
    <r>
      <rPr>
        <vertAlign val="superscript"/>
        <sz val="9"/>
        <color theme="1"/>
        <rFont val="Times New Roman"/>
        <family val="1"/>
      </rPr>
      <t>2</t>
    </r>
    <r>
      <rPr>
        <sz val="9"/>
        <color theme="1"/>
        <rFont val="Times New Roman"/>
        <family val="1"/>
      </rPr>
      <t>The Ratio column shows the ratio of the overburdened metric over the non-overburdened metric. Comparing the territory-level benchmark ratios versus the program ratios shows how equitable the distribution of the program is between the overburdened and non-overburdened populations. If the program ratio is greater than the benchmark ratio, then the overburdened population is better represented in the program.</t>
    </r>
  </si>
  <si>
    <t>Table 8 -  Benefit-Cost Test Results</t>
  </si>
  <si>
    <t>Initial</t>
  </si>
  <si>
    <t>Final</t>
  </si>
  <si>
    <t>NJCT</t>
  </si>
  <si>
    <t>PCT</t>
  </si>
  <si>
    <t>PACT</t>
  </si>
  <si>
    <t>RIMT</t>
  </si>
  <si>
    <t>TRCT</t>
  </si>
  <si>
    <t>SCT</t>
  </si>
  <si>
    <t>Portfolio Total</t>
  </si>
  <si>
    <t>Other Programs</t>
  </si>
  <si>
    <t>Table 9 - Legacy Program Totals</t>
  </si>
  <si>
    <t>($000's)</t>
  </si>
  <si>
    <t>ELECTRIC SAVINGS - Installed</t>
  </si>
  <si>
    <t>GAS &amp; OTHER FUEL SAVINGS - Installed</t>
  </si>
  <si>
    <t>Total Budget</t>
  </si>
  <si>
    <t>Total Expenses</t>
  </si>
  <si>
    <t>Peak Demand Electric Savings (MW)</t>
  </si>
  <si>
    <t>Annual Electric Savings (MWh)</t>
  </si>
  <si>
    <t>Lifetime Electric Savings (MWh)</t>
  </si>
  <si>
    <t>Annual Gas Savings (MMBtu)</t>
  </si>
  <si>
    <t>Lifetime Gas Savings (MMBtu)</t>
  </si>
  <si>
    <t xml:space="preserve">In Word document only </t>
  </si>
  <si>
    <t>Energy Efficiency and PDR Savings Summary</t>
  </si>
  <si>
    <t>For Period Ending PY23 Q4</t>
  </si>
  <si>
    <t>Participation</t>
  </si>
  <si>
    <t>Actual Expenditures</t>
  </si>
  <si>
    <t>Ex Ante Energy Savings</t>
  </si>
  <si>
    <t>**Suplement for Annual Report</t>
  </si>
  <si>
    <t>A</t>
  </si>
  <si>
    <t>B</t>
  </si>
  <si>
    <t>C</t>
  </si>
  <si>
    <t>D=C/B</t>
  </si>
  <si>
    <t>E</t>
  </si>
  <si>
    <t>F</t>
  </si>
  <si>
    <t>G</t>
  </si>
  <si>
    <t>H=G/F</t>
  </si>
  <si>
    <t>I</t>
  </si>
  <si>
    <t>J</t>
  </si>
  <si>
    <t>K</t>
  </si>
  <si>
    <t>L=K/J</t>
  </si>
  <si>
    <t>M</t>
  </si>
  <si>
    <t>N</t>
  </si>
  <si>
    <t>O</t>
  </si>
  <si>
    <t>P</t>
  </si>
  <si>
    <t>Q</t>
  </si>
  <si>
    <t>R</t>
  </si>
  <si>
    <t>S</t>
  </si>
  <si>
    <t>Annual Forecasted Participation Number</t>
  </si>
  <si>
    <t>YTD % of Annual Participants</t>
  </si>
  <si>
    <t>Quarter ($000)</t>
  </si>
  <si>
    <r>
      <t xml:space="preserve">Annual Forecasted Program Costs ($000) </t>
    </r>
    <r>
      <rPr>
        <vertAlign val="superscript"/>
        <sz val="9"/>
        <color rgb="FFFFFFFF"/>
        <rFont val="Calibri"/>
        <family val="2"/>
        <scheme val="minor"/>
      </rPr>
      <t>2,5</t>
    </r>
  </si>
  <si>
    <t>YTD Reported Program Costs ($000)</t>
  </si>
  <si>
    <t>YTD % of Annual Budget</t>
  </si>
  <si>
    <t>Quarter Annual Retail Energy Savings (MWh)</t>
  </si>
  <si>
    <t>Annual Forecasted Retail Energy Savings (MWh)</t>
  </si>
  <si>
    <t>YTD Reported Annual Retail Energy Savings (MWh)</t>
  </si>
  <si>
    <t>YTD % of Annual Energy Savings</t>
  </si>
  <si>
    <t>Quarter  Annual Wholesale Energy Savings (MWh)</t>
  </si>
  <si>
    <t>YTD Retail Peak Demand Savings (MW)</t>
  </si>
  <si>
    <t>Quarter Lifetime Retail Energy Savings (MWh)</t>
  </si>
  <si>
    <t>YTD Lifetime Retail Energy Savings (MWh)</t>
  </si>
  <si>
    <t>Current Quarter Retail Peak Demand Savings (MW)</t>
  </si>
  <si>
    <t>Current Quarter  Lifetime Wholesale Energy Savings (MWh)</t>
  </si>
  <si>
    <t>Current Quarter Wholesale Peak Demand Savings (MW)</t>
  </si>
  <si>
    <t>Residential Programs</t>
  </si>
  <si>
    <r>
      <t>Sub Program or Category</t>
    </r>
    <r>
      <rPr>
        <b/>
        <vertAlign val="superscript"/>
        <sz val="11"/>
        <color theme="1"/>
        <rFont val="Calibri"/>
        <family val="2"/>
        <scheme val="minor"/>
      </rPr>
      <t>1</t>
    </r>
  </si>
  <si>
    <t>Efficient Products*</t>
  </si>
  <si>
    <t xml:space="preserve"> N/A </t>
  </si>
  <si>
    <t>Subtotal Efficient Products</t>
  </si>
  <si>
    <t>Home Performance with Energy Star*</t>
  </si>
  <si>
    <r>
      <t>Quick Home Energy Check-Up</t>
    </r>
    <r>
      <rPr>
        <vertAlign val="superscript"/>
        <sz val="11"/>
        <rFont val="Calibri"/>
        <family val="2"/>
        <scheme val="minor"/>
      </rPr>
      <t>3</t>
    </r>
  </si>
  <si>
    <r>
      <t>Behavioral</t>
    </r>
    <r>
      <rPr>
        <vertAlign val="superscript"/>
        <sz val="11"/>
        <rFont val="Calibri"/>
        <family val="2"/>
        <scheme val="minor"/>
      </rPr>
      <t>3</t>
    </r>
  </si>
  <si>
    <t xml:space="preserve"> -    </t>
  </si>
  <si>
    <t>Total Residential</t>
  </si>
  <si>
    <t>Business Programs</t>
  </si>
  <si>
    <t>Direct Install*</t>
  </si>
  <si>
    <r>
      <t>Prescriptive/Custom*</t>
    </r>
    <r>
      <rPr>
        <vertAlign val="superscript"/>
        <sz val="11"/>
        <color theme="1"/>
        <rFont val="Calibri"/>
        <family val="2"/>
        <scheme val="minor"/>
      </rPr>
      <t>4</t>
    </r>
  </si>
  <si>
    <t>Total Business</t>
  </si>
  <si>
    <t>Multi-Family*</t>
  </si>
  <si>
    <t>Prescriptive/Custom*</t>
  </si>
  <si>
    <t>Subtotal Multi-Family</t>
  </si>
  <si>
    <t>Supportive Costs Outside Portfolio</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</si>
  <si>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are generally listed as categories for informational purposes only.</t>
    </r>
  </si>
  <si>
    <r>
      <rPr>
        <vertAlign val="superscript"/>
        <sz val="11"/>
        <color rgb="FF000000"/>
        <rFont val="Calibri"/>
        <family val="2"/>
        <scheme val="minor"/>
      </rPr>
      <t>2</t>
    </r>
    <r>
      <rPr>
        <sz val="11"/>
        <color rgb="FF000000"/>
        <rFont val="Calibri"/>
        <family val="2"/>
        <scheme val="minor"/>
      </rPr>
      <t xml:space="preserve"> Annual Forecasted Program Costs reflect values anticipated in Board-approved Utility EE/PDR proposals and may incorporate budget adjustments as provided for in the June 10, 2020 Board Order.</t>
    </r>
  </si>
  <si>
    <r>
      <rPr>
        <vertAlign val="superscript"/>
        <sz val="11"/>
        <color theme="1"/>
        <rFont val="Calibri"/>
        <family val="2"/>
        <scheme val="minor"/>
      </rPr>
      <t>3</t>
    </r>
    <r>
      <rPr>
        <sz val="11"/>
        <color theme="1"/>
        <rFont val="Calibri"/>
        <family val="2"/>
        <scheme val="minor"/>
      </rPr>
      <t xml:space="preserve"> Quick Home Energy Check-Up and Behavioral Program costs in PY23 are supported by merger funding. For consistency with the Company's approved plan, the costs and particpation counts for projects funded this way are excluded from the table above. Savings from these programs is included in this report as permitted by the June 10th Board Order.</t>
    </r>
  </si>
  <si>
    <r>
      <rPr>
        <vertAlign val="superscript"/>
        <sz val="11"/>
        <rFont val="Calibri"/>
        <family val="2"/>
        <scheme val="minor"/>
      </rPr>
      <t>4</t>
    </r>
    <r>
      <rPr>
        <sz val="11"/>
        <rFont val="Calibri"/>
        <family val="2"/>
        <scheme val="minor"/>
      </rPr>
      <t xml:space="preserve"> The participant definition for the Prescriptive/Custom component of the Energy Solutions for Business program as agreed upon by the joint utilities represents the count of projects while the forecast established in ACE's filed plan represents the count of measures. </t>
    </r>
  </si>
  <si>
    <r>
      <rPr>
        <vertAlign val="superscript"/>
        <sz val="11"/>
        <rFont val="Calibri"/>
        <family val="2"/>
        <scheme val="minor"/>
      </rPr>
      <t>5</t>
    </r>
    <r>
      <rPr>
        <sz val="11"/>
        <rFont val="Calibri"/>
        <family val="2"/>
        <scheme val="minor"/>
      </rPr>
      <t>A budget shift from Home Performance with Energy Star to Behavioral &amp; QHEC to HVAC were initiated in PY23. Updated contracts did not finish processing until after PY23 close; therefore these budget shifts will be reflected in PY24 Q1 reporting.</t>
    </r>
  </si>
  <si>
    <t>* Denotes a core EE program. Home Performance with Energy Star only includes non-LMI; the comparable program for LMI participants is Comfort Partners, which is jointly administered by the State and Utilities.</t>
  </si>
  <si>
    <t>Incentive Expenditures (Customer Rebates and Low/no-cost financing)</t>
  </si>
  <si>
    <t>D</t>
  </si>
  <si>
    <t>YTD Reported Incentive Costs ($000)</t>
  </si>
  <si>
    <t>YTD Reported Retail Energy Savings (MWh)</t>
  </si>
  <si>
    <t>Sub Program</t>
  </si>
  <si>
    <t>LMI</t>
  </si>
  <si>
    <t>Non-LMI or Unverified</t>
  </si>
  <si>
    <t>Others</t>
  </si>
  <si>
    <r>
      <t>Home Performance with Energy Star</t>
    </r>
    <r>
      <rPr>
        <vertAlign val="superscript"/>
        <sz val="11"/>
        <rFont val="Calibri"/>
        <family val="2"/>
        <scheme val="minor"/>
      </rPr>
      <t>1</t>
    </r>
  </si>
  <si>
    <r>
      <t>Direct Installation/MF QHEC</t>
    </r>
    <r>
      <rPr>
        <vertAlign val="superscript"/>
        <sz val="11"/>
        <color theme="1"/>
        <rFont val="Calibri"/>
        <family val="2"/>
        <scheme val="minor"/>
      </rPr>
      <t>2</t>
    </r>
  </si>
  <si>
    <t>Total Multi-Family</t>
  </si>
  <si>
    <t>NONE</t>
  </si>
  <si>
    <t>Total Other</t>
  </si>
  <si>
    <r>
      <rPr>
        <vertAlign val="superscript"/>
        <sz val="11"/>
        <rFont val="Times New Roman"/>
        <family val="1"/>
      </rPr>
      <t>1</t>
    </r>
    <r>
      <rPr>
        <sz val="11"/>
        <rFont val="Times New Roman"/>
        <family val="1"/>
      </rPr>
      <t>Income-qualified customers are directed to participate through the Comfort Partners or Moderate Income Weatherization programs.</t>
    </r>
  </si>
  <si>
    <t>H</t>
  </si>
  <si>
    <t>L</t>
  </si>
  <si>
    <t>Reported Lifetime Retail Energy Savings Current Quarter (MWh)</t>
  </si>
  <si>
    <t>Reported Lifetime Retail Energy Savings YTD (MWh)</t>
  </si>
  <si>
    <t>Reported Lifetime Wholesale Energy Savings Current Quarter (MWh)</t>
  </si>
  <si>
    <t>Small Commercial</t>
  </si>
  <si>
    <t>Large Commercial</t>
  </si>
  <si>
    <t>Home Optimization &amp; Peak Demand Reduction</t>
  </si>
  <si>
    <t xml:space="preserve">Appendix E Annual Report Baseline Calculation </t>
  </si>
  <si>
    <t>Energy Efficiency Compliance Baselines and Benchmarks (MWh)</t>
  </si>
  <si>
    <t>Electric Utility</t>
  </si>
  <si>
    <t>Plan Year</t>
  </si>
  <si>
    <t>Sales Period</t>
  </si>
  <si>
    <t>Sales
(MWh)</t>
  </si>
  <si>
    <t>Adjustments
(MWh)</t>
  </si>
  <si>
    <t>Adjusted Retail Sales
(MWh)</t>
  </si>
  <si>
    <t>Compliance Baseline
(MWh)</t>
  </si>
  <si>
    <t>Overall Annual Energy Reduction Target (%)</t>
  </si>
  <si>
    <t>Overall Annual Energy Reduction Target (MWh)</t>
  </si>
  <si>
    <t>State-Administered Annual Energy Reduction Target (%)</t>
  </si>
  <si>
    <t>State-Administered Annual Energy Reduction Target (MWh)</t>
  </si>
  <si>
    <t>Utility-Administered Annual Energy Reduction Target (%)</t>
  </si>
  <si>
    <t>Utility-Administered Annual Energy Reduction Target (MWh)</t>
  </si>
  <si>
    <t>(C) = (A)-(B)</t>
  </si>
  <si>
    <t xml:space="preserve">(D) = Average (C) </t>
  </si>
  <si>
    <t>(F) = (E) * (D)</t>
  </si>
  <si>
    <t>(G)</t>
  </si>
  <si>
    <t>(H) = (G) * (D)</t>
  </si>
  <si>
    <t>(I)</t>
  </si>
  <si>
    <t>(J) = (I) * (D)</t>
  </si>
  <si>
    <t>7/1/19 - 6/30/20</t>
  </si>
  <si>
    <t>7/1/20 - 6/30/21</t>
  </si>
  <si>
    <t>7/1/21 - 6/30/22</t>
  </si>
  <si>
    <t>Plan Year 2023</t>
  </si>
  <si>
    <t>7/1/22 - 6/30/23</t>
  </si>
  <si>
    <t>Notes:</t>
  </si>
  <si>
    <t>(A) Includes sales as reported on FERC Form-1, as adjusted for the given sales period (planning year)</t>
  </si>
  <si>
    <t>(B) ACE totals for resale</t>
  </si>
  <si>
    <t>(E,G,I) No formal targets were established for PY22 in the June 2020 CEA Framework Order</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</si>
  <si>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</si>
  <si>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</si>
  <si>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t>
  </si>
  <si>
    <r>
      <t>Annual Energy Savings</t>
    </r>
    <r>
      <rPr>
        <vertAlign val="superscript"/>
        <sz val="9"/>
        <color indexed="9"/>
        <rFont val="Calibri"/>
        <family val="2"/>
        <scheme val="minor"/>
      </rPr>
      <t>1</t>
    </r>
    <r>
      <rPr>
        <sz val="9"/>
        <color indexed="9"/>
        <rFont val="Calibri"/>
        <family val="2"/>
        <scheme val="minor"/>
      </rPr>
      <t>,</t>
    </r>
    <r>
      <rPr>
        <vertAlign val="superscript"/>
        <sz val="9"/>
        <color rgb="FFFFFFFF"/>
        <rFont val="Calibri"/>
        <family val="2"/>
        <scheme val="minor"/>
      </rPr>
      <t>2</t>
    </r>
  </si>
  <si>
    <t>Annual Retail (MWh)</t>
  </si>
  <si>
    <t>Primary Metrics - 2020/21  TRM</t>
  </si>
  <si>
    <t>Secondary Metrics - 2022 TRM</t>
  </si>
  <si>
    <t>Annual Savings</t>
  </si>
  <si>
    <t>Figure A-1 - Program Year [2023] Portfolio-Level Annual Energy Savings – Primary vs. Seondary Metrics</t>
  </si>
  <si>
    <t>Table F-2 – Sector-Level Energy Savings: Secondary Metrics</t>
  </si>
  <si>
    <r>
      <t>1</t>
    </r>
    <r>
      <rPr>
        <sz val="9"/>
        <color theme="1"/>
        <rFont val="Calibri"/>
        <family val="2"/>
        <scheme val="minor"/>
      </rPr>
      <t xml:space="preserve"> Annual energy savings represent the total expected annual savings from all energy efficiency measures within each sector, and not only those measures affected by the FY2022 TRM Addendum.</t>
    </r>
    <r>
      <rPr>
        <vertAlign val="superscript"/>
        <sz val="9"/>
        <color theme="1"/>
        <rFont val="Calibri"/>
        <family val="2"/>
        <scheme val="minor"/>
      </rPr>
      <t xml:space="preserve">
2</t>
    </r>
    <r>
      <rPr>
        <sz val="9"/>
        <color theme="1"/>
        <rFont val="Calibri"/>
        <family val="2"/>
        <scheme val="minor"/>
      </rPr>
      <t xml:space="preserve"> Residential sector includes savings from ACE merger committment programs.</t>
    </r>
  </si>
  <si>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</si>
  <si>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</si>
  <si>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ACE</t>
  </si>
  <si>
    <t>Dth held for transfer</t>
  </si>
  <si>
    <t>Res Efficient Products</t>
  </si>
  <si>
    <r>
      <t xml:space="preserve">C&amp;I </t>
    </r>
    <r>
      <rPr>
        <sz val="11"/>
        <color rgb="FF000000"/>
        <rFont val="Arial"/>
        <family val="2"/>
      </rPr>
      <t>Prescriptive/Custom</t>
    </r>
  </si>
  <si>
    <t>C&amp;I Small Business Direct Install</t>
  </si>
  <si>
    <r>
      <t xml:space="preserve">C&amp;I </t>
    </r>
    <r>
      <rPr>
        <sz val="11"/>
        <color rgb="FF000000"/>
        <rFont val="Arial"/>
        <family val="2"/>
      </rPr>
      <t>Energy Management</t>
    </r>
  </si>
  <si>
    <r>
      <t xml:space="preserve">C&amp;I </t>
    </r>
    <r>
      <rPr>
        <sz val="11"/>
        <color rgb="FF000000"/>
        <rFont val="Arial"/>
        <family val="2"/>
      </rPr>
      <t>Engineered Solutions</t>
    </r>
  </si>
  <si>
    <t>TOTAL</t>
  </si>
  <si>
    <t>Appendix H - Cost Effectiveness Test Details</t>
  </si>
  <si>
    <t>Business</t>
  </si>
  <si>
    <t>MF</t>
  </si>
  <si>
    <t xml:space="preserve">Other </t>
  </si>
  <si>
    <t>Total Portfolio</t>
  </si>
  <si>
    <t>Total Resource Cost Test (TRC)</t>
  </si>
  <si>
    <t>Quarter Retail Savings</t>
  </si>
  <si>
    <t>YTD Retail Savings</t>
  </si>
  <si>
    <t>Quarter Whole Savings</t>
  </si>
  <si>
    <t>Energy Efficiency Baseline</t>
  </si>
  <si>
    <t>Lost Revenue from Energy Savings (kWh)</t>
  </si>
  <si>
    <t>Lost Revenue fromPeak Demand Savings (kW)</t>
  </si>
  <si>
    <t>Lost Revenue from Gas Savings (Therms)</t>
  </si>
  <si>
    <t>Avoided Costs from Energy Savings (kWh)</t>
  </si>
  <si>
    <t>Avoided Costs from Demand Savings (kW)</t>
  </si>
  <si>
    <t>Avoided Costs from Gas Savings (Therms)</t>
  </si>
  <si>
    <t>Environmental Adder</t>
  </si>
  <si>
    <t>DRIPE</t>
  </si>
  <si>
    <t>Total Benefit = 1+2+3+4+5+6+7+8</t>
  </si>
  <si>
    <t>Administrative Costs</t>
  </si>
  <si>
    <t>Participant Incremental Costs</t>
  </si>
  <si>
    <t>Incentives</t>
  </si>
  <si>
    <t>Total Costs (9+10+11)</t>
  </si>
  <si>
    <t>Benefit Cost Ratio = (1+2+3+4+5+6+7+8)/(9+10+11)</t>
  </si>
  <si>
    <t>Particpant Cost Test (PCT)</t>
  </si>
  <si>
    <t>Lifetime Participant Benefits</t>
  </si>
  <si>
    <t>Lifetime Repayment Benefits</t>
  </si>
  <si>
    <t>Benefit Cost Ratio = (11+12+13)/9</t>
  </si>
  <si>
    <t>Program Administrator Cost Test (PAC)</t>
  </si>
  <si>
    <t>Benefit Cost ratio = (1+2+3+4+5+6+7+8)/(10+11+13)</t>
  </si>
  <si>
    <t>Ratepayer Impact Measure Test (RIM)</t>
  </si>
  <si>
    <t>Lifetime utility Revenue Gained</t>
  </si>
  <si>
    <t>Lifetime Utility Cost</t>
  </si>
  <si>
    <t>Benefit Cost ratio = (1+2+3+4+5+6+7+8+14)/(10+11+13+15)</t>
  </si>
  <si>
    <t>Societal Cost Test (SCT)</t>
  </si>
  <si>
    <t>Total Benefit = (16+17+18+19)</t>
  </si>
  <si>
    <t>Total Costs = (20+21+22)</t>
  </si>
  <si>
    <t>Benefit Cost Ratio = (16+17+18+19)/(20+21+22)</t>
  </si>
  <si>
    <t>New Jersey Cost Test (NJCT)</t>
  </si>
  <si>
    <t>NEB Adder</t>
  </si>
  <si>
    <t>Lifetime Avoided Ancillary Services Costs</t>
  </si>
  <si>
    <t>Total Benefit = (23+24+25+26+27+28+29+30+31+32)</t>
  </si>
  <si>
    <t>Total Costs = (33+34+35)</t>
  </si>
  <si>
    <t>Benefit Cost Ratio =(23+24+25+26+27+28+29+30+31+32)/(33+34+35)</t>
  </si>
  <si>
    <t>Intentionally Left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</si>
</sst>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 #,##0.000_);_(* \(#,##0.000\);_(* &quot;-&quot;??_);_(@_)"/>
    <numFmt numFmtId="168" formatCode="0.000%"/>
    <numFmt numFmtId="169" formatCode="0.0"/>
    <numFmt numFmtId="170" formatCode="_(* #,##0.0_);_(* \(#,##0.0\);_(* &quot;-&quot;??_);_(@_)"/>
    <numFmt numFmtId="171" formatCode="0.000"/>
    <numFmt numFmtId="172" formatCode="_(* #,##0.000_);_(* \(#,##0.000\);_(* &quot;-&quot;???_);_(@_)"/>
    <numFmt numFmtId="173" formatCode="#,##0.000"/>
    <numFmt numFmtId="174" formatCode="#,##0.000_);\(#,##0.000\)"/>
    <numFmt numFmtId="175" formatCode="_(* #,##0.00000_);_(* \(#,##0.00000\);_(* &quot;-&quot;??_);_(@_)"/>
  </numFmts>
  <fonts count="5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b/>
      <sz val="11"/>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sz val="11"/>
      <color rgb="FF000000"/>
      <name val="Calibri"/>
      <family val="2"/>
    </font>
    <font>
      <vertAlign val="superscript"/>
      <sz val="11"/>
      <color theme="1"/>
      <name val="Calibri"/>
      <family val="2"/>
      <scheme val="minor"/>
    </font>
    <font>
      <sz val="11"/>
      <color rgb="FF006100"/>
      <name val="Calibri"/>
      <family val="2"/>
      <scheme val="minor"/>
    </font>
    <font>
      <sz val="11"/>
      <color rgb="FF000000"/>
      <name val="Calibri"/>
      <family val="2"/>
      <scheme val="minor"/>
    </font>
    <font>
      <sz val="11"/>
      <name val="Calibri"/>
      <family val="2"/>
    </font>
    <font>
      <vertAlign val="superscript"/>
      <sz val="9"/>
      <color indexed="9"/>
      <name val="Calibri"/>
      <family val="2"/>
      <scheme val="minor"/>
    </font>
    <font>
      <sz val="11"/>
      <color theme="0"/>
      <name val="Calibri"/>
      <family val="2"/>
      <scheme val="minor"/>
    </font>
    <font>
      <strike/>
      <sz val="11"/>
      <color theme="1"/>
      <name val="Calibri"/>
      <family val="2"/>
      <scheme val="minor"/>
    </font>
    <font>
      <sz val="11"/>
      <name val="Arial Black"/>
      <family val="2"/>
    </font>
    <font>
      <u/>
      <sz val="16"/>
      <name val="Arial Black"/>
      <family val="2"/>
    </font>
    <font>
      <b/>
      <sz val="11"/>
      <name val="Calibri "/>
    </font>
    <font>
      <b/>
      <sz val="12"/>
      <color indexed="9"/>
      <name val="Calibri"/>
      <family val="2"/>
      <scheme val="minor"/>
    </font>
    <font>
      <sz val="12"/>
      <name val="Calibri"/>
      <family val="2"/>
      <scheme val="minor"/>
    </font>
    <font>
      <b/>
      <sz val="12"/>
      <name val="Calibri"/>
      <family val="2"/>
      <scheme val="minor"/>
    </font>
    <font>
      <sz val="12"/>
      <color theme="1"/>
      <name val="Calibri"/>
      <family val="2"/>
      <scheme val="minor"/>
    </font>
    <font>
      <sz val="12"/>
      <color rgb="FF000000"/>
      <name val="Calibri"/>
      <family val="2"/>
      <scheme val="minor"/>
    </font>
    <font>
      <sz val="11"/>
      <color theme="1"/>
      <name val="Arial"/>
      <family val="2"/>
    </font>
    <font>
      <b/>
      <sz val="14"/>
      <color theme="1"/>
      <name val="Arial"/>
      <family val="2"/>
    </font>
    <font>
      <b/>
      <sz val="14"/>
      <name val="Arial"/>
      <family val="2"/>
    </font>
    <font>
      <sz val="11"/>
      <name val="Arial"/>
      <family val="2"/>
    </font>
    <font>
      <sz val="12"/>
      <color rgb="FF000000"/>
      <name val="Times New Roman"/>
      <family val="1"/>
    </font>
    <font>
      <b/>
      <sz val="11"/>
      <color theme="1"/>
      <name val="Arial"/>
      <family val="2"/>
    </font>
    <font>
      <sz val="11"/>
      <color theme="1"/>
      <name val="Times New Roman"/>
      <family val="1"/>
    </font>
    <font>
      <sz val="9"/>
      <color theme="1"/>
      <name val="Times New Roman"/>
      <family val="1"/>
    </font>
    <font>
      <vertAlign val="superscript"/>
      <sz val="9"/>
      <color theme="1"/>
      <name val="Times New Roman"/>
      <family val="1"/>
    </font>
    <font>
      <sz val="9"/>
      <color theme="1"/>
      <name val="Calibri"/>
      <family val="2"/>
      <scheme val="minor"/>
    </font>
    <font>
      <sz val="11"/>
      <color indexed="9"/>
      <name val="Times New Roman"/>
      <family val="1"/>
    </font>
    <font>
      <b/>
      <sz val="11"/>
      <color theme="1"/>
      <name val="Times New Roman"/>
      <family val="1"/>
    </font>
    <font>
      <vertAlign val="superscript"/>
      <sz val="9"/>
      <color theme="1"/>
      <name val="Calibri"/>
      <family val="2"/>
      <scheme val="minor"/>
    </font>
    <font>
      <sz val="11"/>
      <name val="Times New Roman"/>
      <family val="1"/>
    </font>
    <font>
      <vertAlign val="superscript"/>
      <sz val="11"/>
      <name val="Times New Roman"/>
      <family val="1"/>
    </font>
    <font>
      <b/>
      <sz val="11"/>
      <color rgb="FF000000"/>
      <name val="Calibri"/>
      <family val="2"/>
      <scheme val="minor"/>
    </font>
    <font>
      <sz val="11"/>
      <color rgb="FF7030A0"/>
      <name val="Calibri"/>
      <family val="2"/>
      <scheme val="minor"/>
    </font>
    <font>
      <sz val="11"/>
      <color rgb="FF000000"/>
      <name val="Arial"/>
      <family val="2"/>
    </font>
    <font>
      <b/>
      <sz val="11"/>
      <name val="Times New Roman"/>
      <family val="1"/>
    </font>
    <font>
      <vertAlign val="superscript"/>
      <sz val="9"/>
      <color rgb="FF000000"/>
      <name val="Times New Roman"/>
      <family val="1"/>
    </font>
    <font>
      <sz val="9"/>
      <color rgb="FF000000"/>
      <name val="Times New Roman"/>
      <family val="1"/>
    </font>
    <font>
      <sz val="9"/>
      <color rgb="FFFFFFFF"/>
      <name val="Calibri"/>
      <family val="2"/>
    </font>
    <font>
      <vertAlign val="superscript"/>
      <sz val="9"/>
      <color rgb="FFFFFFFF"/>
      <name val="Calibri"/>
      <family val="2"/>
    </font>
    <font>
      <b/>
      <sz val="11"/>
      <color rgb="FF000000"/>
      <name val="Calibri"/>
      <family val="2"/>
    </font>
    <font>
      <sz val="8"/>
      <name val="Calibri"/>
      <family val="2"/>
      <scheme val="minor"/>
    </font>
    <font>
      <vertAlign val="superscript"/>
      <sz val="11"/>
      <color rgb="FF000000"/>
      <name val="Calibri"/>
      <family val="2"/>
      <scheme val="minor"/>
    </font>
    <font>
      <b/>
      <sz val="12"/>
      <color theme="1"/>
      <name val="Calibri"/>
      <family val="2"/>
      <scheme val="minor"/>
    </font>
  </fonts>
  <fills count="29">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6EFCE"/>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A6A6A6"/>
        <bgColor indexed="64"/>
      </patternFill>
    </fill>
    <fill>
      <patternFill patternType="solid">
        <fgColor indexed="22"/>
        <bgColor indexed="64"/>
      </patternFill>
    </fill>
    <fill>
      <patternFill patternType="solid">
        <fgColor theme="2"/>
        <bgColor indexed="64"/>
      </patternFill>
    </fill>
    <fill>
      <patternFill patternType="solid">
        <fgColor theme="6" tint="0.79998168889431442"/>
        <bgColor indexed="64"/>
      </patternFill>
    </fill>
    <fill>
      <patternFill patternType="solid">
        <fgColor theme="6"/>
        <bgColor indexed="64"/>
      </patternFill>
    </fill>
    <fill>
      <patternFill patternType="solid">
        <fgColor rgb="FFFFF2CC"/>
        <bgColor rgb="FF000000"/>
      </patternFill>
    </fill>
    <fill>
      <patternFill patternType="solid">
        <fgColor rgb="FFA5A5A5"/>
        <bgColor indexed="64"/>
      </patternFill>
    </fill>
    <fill>
      <patternFill patternType="solid">
        <fgColor rgb="FFFFF2CC"/>
        <bgColor indexed="64"/>
      </patternFill>
    </fill>
    <fill>
      <patternFill patternType="solid">
        <fgColor theme="4" tint="0.79995117038483843"/>
        <bgColor indexed="64"/>
      </patternFill>
    </fill>
    <fill>
      <patternFill patternType="solid">
        <fgColor theme="4" tint="0.59999389629810485"/>
        <bgColor indexed="64"/>
      </patternFill>
    </fill>
  </fills>
  <borders count="132">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rgb="FF000000"/>
      </bottom>
      <diagonal/>
    </border>
    <border>
      <left style="medium">
        <color indexed="64"/>
      </left>
      <right/>
      <top style="medium">
        <color indexed="64"/>
      </top>
      <bottom style="medium">
        <color rgb="FF000000"/>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rgb="FF000000"/>
      </left>
      <right/>
      <top style="medium">
        <color rgb="FF000000"/>
      </top>
      <bottom style="thin">
        <color rgb="FF000000"/>
      </bottom>
      <diagonal/>
    </border>
    <border>
      <left style="thin">
        <color rgb="FF000000"/>
      </left>
      <right style="thin">
        <color indexed="64"/>
      </right>
      <top style="thin">
        <color indexed="64"/>
      </top>
      <bottom/>
      <diagonal/>
    </border>
    <border>
      <left style="medium">
        <color rgb="FF000000"/>
      </left>
      <right/>
      <top/>
      <bottom style="medium">
        <color rgb="FF000000"/>
      </bottom>
      <diagonal/>
    </border>
    <border>
      <left style="thin">
        <color rgb="FF000000"/>
      </left>
      <right style="thin">
        <color indexed="64"/>
      </right>
      <top style="thin">
        <color indexed="64"/>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rgb="FF000000"/>
      </left>
      <right/>
      <top style="medium">
        <color rgb="FF000000"/>
      </top>
      <bottom/>
      <diagonal/>
    </border>
    <border>
      <left/>
      <right style="medium">
        <color indexed="64"/>
      </right>
      <top style="medium">
        <color rgb="FF000000"/>
      </top>
      <bottom/>
      <diagonal/>
    </border>
    <border>
      <left/>
      <right/>
      <top style="medium">
        <color rgb="FF000000"/>
      </top>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indexed="64"/>
      </left>
      <right style="medium">
        <color rgb="FF000000"/>
      </right>
      <top style="medium">
        <color indexed="64"/>
      </top>
      <bottom style="medium">
        <color indexed="64"/>
      </bottom>
      <diagonal/>
    </border>
    <border>
      <left style="medium">
        <color rgb="FF000000"/>
      </left>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indexed="64"/>
      </top>
      <bottom/>
      <diagonal/>
    </border>
    <border>
      <left style="thin">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style="medium">
        <color indexed="64"/>
      </right>
      <top/>
      <bottom/>
      <diagonal/>
    </border>
    <border>
      <left style="thin">
        <color indexed="64"/>
      </left>
      <right style="medium">
        <color rgb="FF000000"/>
      </right>
      <top style="thin">
        <color indexed="64"/>
      </top>
      <bottom style="thin">
        <color indexed="64"/>
      </bottom>
      <diagonal/>
    </border>
    <border>
      <left/>
      <right style="medium">
        <color rgb="FF000000"/>
      </right>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style="medium">
        <color indexed="64"/>
      </top>
      <bottom style="thin">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diagonal/>
    </border>
    <border>
      <left style="medium">
        <color rgb="FF000000"/>
      </left>
      <right style="medium">
        <color indexed="64"/>
      </right>
      <top/>
      <bottom style="thin">
        <color indexed="64"/>
      </bottom>
      <diagonal/>
    </border>
    <border>
      <left style="medium">
        <color rgb="FF000000"/>
      </left>
      <right style="medium">
        <color indexed="64"/>
      </right>
      <top style="thin">
        <color indexed="64"/>
      </top>
      <bottom style="medium">
        <color indexed="64"/>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medium">
        <color indexed="64"/>
      </left>
      <right style="thin">
        <color indexed="64"/>
      </right>
      <top/>
      <bottom style="medium">
        <color rgb="FF000000"/>
      </bottom>
      <diagonal/>
    </border>
    <border>
      <left style="thin">
        <color indexed="64"/>
      </left>
      <right/>
      <top/>
      <bottom style="medium">
        <color rgb="FF000000"/>
      </bottom>
      <diagonal/>
    </border>
    <border>
      <left style="thin">
        <color indexed="64"/>
      </left>
      <right style="medium">
        <color indexed="64"/>
      </right>
      <top/>
      <bottom style="medium">
        <color rgb="FF000000"/>
      </bottom>
      <diagonal/>
    </border>
    <border>
      <left style="thin">
        <color indexed="64"/>
      </left>
      <right style="medium">
        <color rgb="FF000000"/>
      </right>
      <top/>
      <bottom style="medium">
        <color rgb="FF000000"/>
      </bottom>
      <diagonal/>
    </border>
    <border>
      <left style="medium">
        <color indexed="64"/>
      </left>
      <right style="thin">
        <color rgb="FF000000"/>
      </right>
      <top style="medium">
        <color indexed="64"/>
      </top>
      <bottom style="medium">
        <color indexed="64"/>
      </bottom>
      <diagonal/>
    </border>
    <border>
      <left/>
      <right style="medium">
        <color rgb="FF000000"/>
      </right>
      <top/>
      <bottom style="medium">
        <color indexed="64"/>
      </bottom>
      <diagonal/>
    </border>
    <border>
      <left style="thin">
        <color indexed="64"/>
      </left>
      <right style="thin">
        <color indexed="64"/>
      </right>
      <top style="medium">
        <color rgb="FF000000"/>
      </top>
      <bottom style="thin">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xf numFmtId="0" fontId="16" fillId="10" borderId="0" applyNumberFormat="0" applyBorder="0" applyAlignment="0" applyProtection="0"/>
    <xf numFmtId="0" fontId="22" fillId="0" borderId="0"/>
    <xf numFmtId="0" fontId="30" fillId="0" borderId="0"/>
    <xf numFmtId="0" fontId="9" fillId="0" borderId="0">
      <alignment vertical="top"/>
    </xf>
    <xf numFmtId="0" fontId="1" fillId="0" borderId="0"/>
  </cellStyleXfs>
  <cellXfs count="958">
    <xf numFmtId="0" fontId="0" fillId="0" borderId="0" xfId="0"/>
    <xf numFmtId="0" fontId="4" fillId="0" borderId="0" xfId="0" applyFont="1"/>
    <xf numFmtId="164" fontId="0" fillId="0" borderId="0" xfId="1" applyNumberFormat="1" applyFont="1"/>
    <xf numFmtId="43" fontId="0" fillId="0" borderId="0" xfId="1" applyFont="1"/>
    <xf numFmtId="165" fontId="0" fillId="0" borderId="0" xfId="2" applyNumberFormat="1" applyFont="1"/>
    <xf numFmtId="0" fontId="5" fillId="0" borderId="0" xfId="0" applyFont="1"/>
    <xf numFmtId="0" fontId="7" fillId="2" borderId="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3" fillId="3" borderId="10" xfId="0" applyFont="1" applyFill="1" applyBorder="1"/>
    <xf numFmtId="0" fontId="2" fillId="0" borderId="0" xfId="0" applyFont="1"/>
    <xf numFmtId="165" fontId="2" fillId="0" borderId="0" xfId="2" applyNumberFormat="1" applyFont="1"/>
    <xf numFmtId="164" fontId="2" fillId="0" borderId="0" xfId="1" applyNumberFormat="1" applyFont="1"/>
    <xf numFmtId="0" fontId="7" fillId="2" borderId="10" xfId="0" applyFont="1" applyFill="1" applyBorder="1" applyAlignment="1">
      <alignment horizontal="center" vertical="center" wrapText="1"/>
    </xf>
    <xf numFmtId="0" fontId="0" fillId="0" borderId="18"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36" xfId="0" applyFont="1" applyFill="1" applyBorder="1"/>
    <xf numFmtId="164" fontId="3" fillId="3" borderId="39" xfId="1" applyNumberFormat="1" applyFont="1" applyFill="1" applyBorder="1" applyAlignment="1"/>
    <xf numFmtId="0" fontId="11" fillId="0" borderId="0" xfId="0" applyFont="1"/>
    <xf numFmtId="0" fontId="7" fillId="2" borderId="42"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7" borderId="42" xfId="0" applyFont="1" applyFill="1" applyBorder="1" applyAlignment="1">
      <alignment horizontal="center" vertical="center" wrapText="1"/>
    </xf>
    <xf numFmtId="0" fontId="7" fillId="7" borderId="8" xfId="0"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164" fontId="7" fillId="7" borderId="13" xfId="1" applyNumberFormat="1" applyFont="1" applyFill="1" applyBorder="1" applyAlignment="1">
      <alignment horizontal="center" vertical="center" wrapText="1"/>
    </xf>
    <xf numFmtId="0" fontId="6" fillId="7" borderId="41"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0" xfId="0" applyFont="1" applyFill="1" applyAlignment="1">
      <alignment horizontal="center" vertical="center" wrapText="1"/>
    </xf>
    <xf numFmtId="164" fontId="7" fillId="2" borderId="30" xfId="1" applyNumberFormat="1" applyFont="1" applyFill="1" applyBorder="1" applyAlignment="1">
      <alignment horizontal="center" vertical="center" wrapText="1"/>
    </xf>
    <xf numFmtId="0" fontId="0" fillId="0" borderId="50" xfId="0" applyBorder="1" applyAlignment="1">
      <alignment horizontal="left" vertical="center" wrapText="1"/>
    </xf>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0" fontId="7" fillId="2" borderId="34" xfId="0" applyFont="1" applyFill="1" applyBorder="1" applyAlignment="1">
      <alignment horizontal="center" vertical="center" wrapText="1"/>
    </xf>
    <xf numFmtId="9" fontId="0" fillId="0" borderId="0" xfId="3" applyFont="1" applyFill="1" applyBorder="1"/>
    <xf numFmtId="0" fontId="0" fillId="0" borderId="51"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58" xfId="0" applyFont="1" applyFill="1" applyBorder="1"/>
    <xf numFmtId="0" fontId="3" fillId="3" borderId="53" xfId="0" applyFont="1" applyFill="1" applyBorder="1"/>
    <xf numFmtId="0" fontId="0" fillId="2" borderId="57" xfId="0" applyFill="1" applyBorder="1" applyAlignment="1">
      <alignment vertical="center" wrapText="1"/>
    </xf>
    <xf numFmtId="0" fontId="3" fillId="3" borderId="46" xfId="0" applyFont="1" applyFill="1" applyBorder="1"/>
    <xf numFmtId="0" fontId="3" fillId="3" borderId="48" xfId="0" applyFont="1" applyFill="1" applyBorder="1"/>
    <xf numFmtId="0" fontId="3" fillId="3" borderId="62" xfId="0" applyFont="1" applyFill="1" applyBorder="1"/>
    <xf numFmtId="0" fontId="0" fillId="2" borderId="49" xfId="0" applyFill="1" applyBorder="1" applyAlignment="1">
      <alignment vertical="center" wrapText="1"/>
    </xf>
    <xf numFmtId="0" fontId="0" fillId="2" borderId="33" xfId="0" applyFill="1" applyBorder="1" applyAlignment="1">
      <alignment vertical="center" wrapText="1"/>
    </xf>
    <xf numFmtId="0" fontId="6" fillId="7" borderId="58"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3" fillId="3" borderId="58" xfId="0" applyFont="1" applyFill="1" applyBorder="1" applyAlignment="1">
      <alignment horizontal="center" vertical="center"/>
    </xf>
    <xf numFmtId="0" fontId="7" fillId="2" borderId="38" xfId="0" applyFont="1" applyFill="1" applyBorder="1" applyAlignment="1">
      <alignment horizontal="center" vertical="center" wrapText="1"/>
    </xf>
    <xf numFmtId="0" fontId="3" fillId="3" borderId="44" xfId="0" applyFont="1" applyFill="1" applyBorder="1"/>
    <xf numFmtId="0" fontId="0" fillId="2" borderId="34" xfId="0" applyFill="1" applyBorder="1" applyAlignment="1">
      <alignment vertical="center" wrapText="1"/>
    </xf>
    <xf numFmtId="0" fontId="0" fillId="2" borderId="65" xfId="0" applyFill="1" applyBorder="1" applyAlignment="1">
      <alignment vertical="center" wrapText="1"/>
    </xf>
    <xf numFmtId="0" fontId="7" fillId="7" borderId="21" xfId="0" applyFont="1" applyFill="1" applyBorder="1" applyAlignment="1">
      <alignment horizontal="center" vertical="center" wrapText="1"/>
    </xf>
    <xf numFmtId="0" fontId="7" fillId="7" borderId="64" xfId="0" applyFont="1" applyFill="1" applyBorder="1" applyAlignment="1">
      <alignment horizontal="center" vertical="center" wrapText="1"/>
    </xf>
    <xf numFmtId="0" fontId="0" fillId="5" borderId="56" xfId="0" applyFill="1" applyBorder="1" applyAlignment="1">
      <alignment horizontal="left" vertical="center" wrapText="1"/>
    </xf>
    <xf numFmtId="0" fontId="0" fillId="5" borderId="41" xfId="0" applyFill="1" applyBorder="1" applyAlignment="1">
      <alignment horizontal="left" vertical="center" wrapText="1"/>
    </xf>
    <xf numFmtId="0" fontId="3" fillId="3" borderId="58"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6" fillId="7" borderId="55" xfId="0" applyFont="1" applyFill="1" applyBorder="1" applyAlignment="1">
      <alignment horizontal="center" vertical="center" wrapText="1"/>
    </xf>
    <xf numFmtId="0" fontId="6" fillId="7" borderId="53"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0" fillId="0" borderId="26" xfId="0" applyBorder="1" applyAlignment="1">
      <alignment horizontal="left" vertical="center" wrapText="1"/>
    </xf>
    <xf numFmtId="0" fontId="0" fillId="0" borderId="21" xfId="0" applyBorder="1"/>
    <xf numFmtId="0" fontId="0" fillId="0" borderId="38" xfId="0" applyBorder="1"/>
    <xf numFmtId="0" fontId="0" fillId="0" borderId="57" xfId="0" applyBorder="1" applyAlignment="1">
      <alignment horizontal="left" vertical="center" wrapText="1"/>
    </xf>
    <xf numFmtId="0" fontId="0" fillId="0" borderId="67" xfId="0" applyBorder="1" applyAlignment="1">
      <alignment vertical="center" wrapText="1"/>
    </xf>
    <xf numFmtId="0" fontId="0" fillId="0" borderId="26" xfId="0" applyBorder="1" applyAlignment="1">
      <alignment vertical="center" wrapText="1"/>
    </xf>
    <xf numFmtId="0" fontId="0" fillId="0" borderId="58" xfId="0" applyBorder="1" applyAlignment="1">
      <alignment horizontal="left" vertical="center" wrapText="1"/>
    </xf>
    <xf numFmtId="165" fontId="3" fillId="3" borderId="49" xfId="0" applyNumberFormat="1" applyFont="1" applyFill="1" applyBorder="1" applyAlignment="1">
      <alignment horizontal="center"/>
    </xf>
    <xf numFmtId="165" fontId="3" fillId="3" borderId="39" xfId="0" applyNumberFormat="1" applyFont="1" applyFill="1" applyBorder="1" applyAlignment="1">
      <alignment horizontal="center"/>
    </xf>
    <xf numFmtId="165" fontId="3" fillId="3" borderId="62" xfId="0" applyNumberFormat="1" applyFont="1" applyFill="1" applyBorder="1" applyAlignment="1">
      <alignment horizontal="center"/>
    </xf>
    <xf numFmtId="165" fontId="3" fillId="3" borderId="30" xfId="0" applyNumberFormat="1" applyFont="1" applyFill="1" applyBorder="1" applyAlignment="1">
      <alignment horizontal="center"/>
    </xf>
    <xf numFmtId="166" fontId="3" fillId="3" borderId="43" xfId="3" applyNumberFormat="1" applyFont="1" applyFill="1" applyBorder="1" applyAlignment="1">
      <alignment horizontal="center"/>
    </xf>
    <xf numFmtId="166" fontId="3" fillId="3" borderId="68" xfId="3" applyNumberFormat="1" applyFont="1" applyFill="1" applyBorder="1" applyAlignment="1">
      <alignment horizontal="center"/>
    </xf>
    <xf numFmtId="166" fontId="3" fillId="3" borderId="40" xfId="3" applyNumberFormat="1" applyFont="1" applyFill="1" applyBorder="1" applyAlignment="1">
      <alignment horizontal="center"/>
    </xf>
    <xf numFmtId="166" fontId="3" fillId="3" borderId="11" xfId="3" applyNumberFormat="1" applyFont="1" applyFill="1" applyBorder="1" applyAlignment="1">
      <alignment horizontal="center"/>
    </xf>
    <xf numFmtId="166" fontId="3" fillId="3" borderId="60" xfId="3" applyNumberFormat="1" applyFont="1" applyFill="1" applyBorder="1" applyAlignment="1">
      <alignment horizontal="center"/>
    </xf>
    <xf numFmtId="166" fontId="3" fillId="3" borderId="49" xfId="3" applyNumberFormat="1" applyFont="1" applyFill="1" applyBorder="1" applyAlignment="1">
      <alignment horizontal="center"/>
    </xf>
    <xf numFmtId="166" fontId="0" fillId="0" borderId="8" xfId="3" applyNumberFormat="1" applyFont="1" applyFill="1" applyBorder="1" applyAlignment="1">
      <alignment horizontal="center"/>
    </xf>
    <xf numFmtId="166" fontId="0" fillId="0" borderId="18" xfId="3" applyNumberFormat="1" applyFont="1" applyFill="1" applyBorder="1" applyAlignment="1">
      <alignment horizontal="center"/>
    </xf>
    <xf numFmtId="166" fontId="3" fillId="3" borderId="39" xfId="3" applyNumberFormat="1" applyFont="1" applyFill="1" applyBorder="1" applyAlignment="1">
      <alignment horizontal="center"/>
    </xf>
    <xf numFmtId="166" fontId="3" fillId="3" borderId="30" xfId="3" applyNumberFormat="1" applyFont="1" applyFill="1" applyBorder="1" applyAlignment="1">
      <alignment horizontal="center"/>
    </xf>
    <xf numFmtId="166" fontId="14" fillId="0" borderId="13" xfId="3" applyNumberFormat="1" applyFont="1" applyFill="1" applyBorder="1" applyAlignment="1">
      <alignment horizontal="center"/>
    </xf>
    <xf numFmtId="166" fontId="3" fillId="3" borderId="13" xfId="3" applyNumberFormat="1" applyFont="1" applyFill="1" applyBorder="1" applyAlignment="1">
      <alignment horizontal="center"/>
    </xf>
    <xf numFmtId="166" fontId="3" fillId="6" borderId="39" xfId="3" applyNumberFormat="1" applyFont="1" applyFill="1" applyBorder="1" applyAlignment="1">
      <alignment horizontal="center"/>
    </xf>
    <xf numFmtId="164" fontId="3" fillId="3" borderId="53" xfId="1" applyNumberFormat="1" applyFont="1" applyFill="1" applyBorder="1" applyAlignment="1">
      <alignment horizontal="center"/>
    </xf>
    <xf numFmtId="164" fontId="3" fillId="3" borderId="39" xfId="1" applyNumberFormat="1" applyFont="1" applyFill="1" applyBorder="1" applyAlignment="1">
      <alignment horizontal="center"/>
    </xf>
    <xf numFmtId="164" fontId="3" fillId="3" borderId="62" xfId="1" applyNumberFormat="1" applyFont="1" applyFill="1" applyBorder="1" applyAlignment="1">
      <alignment horizontal="center"/>
    </xf>
    <xf numFmtId="164" fontId="3" fillId="3" borderId="30" xfId="1" applyNumberFormat="1" applyFont="1" applyFill="1" applyBorder="1" applyAlignment="1">
      <alignment horizontal="center"/>
    </xf>
    <xf numFmtId="164" fontId="3" fillId="3" borderId="36" xfId="1" applyNumberFormat="1" applyFont="1" applyFill="1" applyBorder="1" applyAlignment="1">
      <alignment horizontal="center"/>
    </xf>
    <xf numFmtId="164" fontId="0" fillId="0" borderId="23" xfId="1" applyNumberFormat="1" applyFont="1" applyBorder="1" applyAlignment="1">
      <alignment horizontal="center" vertical="center"/>
    </xf>
    <xf numFmtId="164" fontId="3" fillId="3" borderId="10" xfId="1" applyNumberFormat="1" applyFont="1" applyFill="1" applyBorder="1" applyAlignment="1">
      <alignment horizontal="center"/>
    </xf>
    <xf numFmtId="164" fontId="3" fillId="3" borderId="13" xfId="1" applyNumberFormat="1" applyFont="1" applyFill="1" applyBorder="1" applyAlignment="1">
      <alignment horizontal="center"/>
    </xf>
    <xf numFmtId="164" fontId="0" fillId="2" borderId="6" xfId="1" applyNumberFormat="1" applyFont="1" applyFill="1" applyBorder="1" applyAlignment="1">
      <alignment horizontal="center" vertical="center" wrapText="1"/>
    </xf>
    <xf numFmtId="164" fontId="3" fillId="6" borderId="36" xfId="1" applyNumberFormat="1" applyFont="1" applyFill="1" applyBorder="1" applyAlignment="1">
      <alignment horizontal="center"/>
    </xf>
    <xf numFmtId="164" fontId="3" fillId="6" borderId="39" xfId="1" applyNumberFormat="1" applyFont="1" applyFill="1" applyBorder="1" applyAlignment="1">
      <alignment horizontal="center"/>
    </xf>
    <xf numFmtId="0" fontId="3" fillId="3" borderId="33" xfId="0" applyFont="1" applyFill="1" applyBorder="1" applyAlignment="1">
      <alignment horizontal="center"/>
    </xf>
    <xf numFmtId="0" fontId="3" fillId="3" borderId="49" xfId="0" applyFont="1" applyFill="1" applyBorder="1" applyAlignment="1">
      <alignment horizontal="center"/>
    </xf>
    <xf numFmtId="0" fontId="3" fillId="3" borderId="50" xfId="0" applyFont="1" applyFill="1" applyBorder="1"/>
    <xf numFmtId="164" fontId="3" fillId="3" borderId="22" xfId="1" applyNumberFormat="1" applyFont="1" applyFill="1" applyBorder="1" applyAlignment="1">
      <alignment horizontal="center"/>
    </xf>
    <xf numFmtId="164" fontId="3" fillId="3" borderId="70" xfId="1" applyNumberFormat="1" applyFont="1" applyFill="1" applyBorder="1" applyAlignment="1">
      <alignment horizontal="center"/>
    </xf>
    <xf numFmtId="0" fontId="3" fillId="9" borderId="46" xfId="0" applyFont="1" applyFill="1" applyBorder="1"/>
    <xf numFmtId="164" fontId="0" fillId="0" borderId="8" xfId="1" applyNumberFormat="1" applyFont="1" applyFill="1" applyBorder="1" applyAlignment="1">
      <alignment horizontal="center"/>
    </xf>
    <xf numFmtId="164" fontId="0" fillId="0" borderId="18" xfId="1" applyNumberFormat="1" applyFont="1" applyFill="1" applyBorder="1" applyAlignment="1">
      <alignment horizontal="center"/>
    </xf>
    <xf numFmtId="164" fontId="3" fillId="3" borderId="43" xfId="1" applyNumberFormat="1" applyFont="1" applyFill="1" applyBorder="1" applyAlignment="1">
      <alignment horizontal="center"/>
    </xf>
    <xf numFmtId="164" fontId="3" fillId="3" borderId="56" xfId="1" applyNumberFormat="1" applyFont="1" applyFill="1" applyBorder="1" applyAlignment="1">
      <alignment horizontal="center"/>
    </xf>
    <xf numFmtId="164" fontId="14" fillId="0" borderId="18" xfId="1" applyNumberFormat="1" applyFont="1" applyFill="1" applyBorder="1" applyAlignment="1">
      <alignment horizontal="center"/>
    </xf>
    <xf numFmtId="164" fontId="14" fillId="0" borderId="13" xfId="1" applyNumberFormat="1" applyFont="1" applyFill="1" applyBorder="1" applyAlignment="1">
      <alignment horizontal="center"/>
    </xf>
    <xf numFmtId="164" fontId="3" fillId="3" borderId="44" xfId="1" applyNumberFormat="1" applyFont="1" applyFill="1" applyBorder="1" applyAlignment="1">
      <alignment horizontal="center"/>
    </xf>
    <xf numFmtId="165" fontId="3" fillId="3" borderId="36" xfId="2" applyNumberFormat="1" applyFont="1" applyFill="1" applyBorder="1" applyAlignment="1">
      <alignment horizontal="center"/>
    </xf>
    <xf numFmtId="165" fontId="3" fillId="3" borderId="39" xfId="2" applyNumberFormat="1" applyFont="1" applyFill="1" applyBorder="1" applyAlignment="1">
      <alignment horizontal="center"/>
    </xf>
    <xf numFmtId="164" fontId="3" fillId="8" borderId="13" xfId="1" applyNumberFormat="1" applyFont="1" applyFill="1" applyBorder="1" applyAlignment="1">
      <alignment horizontal="center"/>
    </xf>
    <xf numFmtId="0" fontId="3" fillId="9" borderId="48" xfId="0" applyFont="1" applyFill="1" applyBorder="1"/>
    <xf numFmtId="164" fontId="8" fillId="8" borderId="13" xfId="1" applyNumberFormat="1" applyFont="1" applyFill="1" applyBorder="1" applyAlignment="1">
      <alignment horizontal="center"/>
    </xf>
    <xf numFmtId="164" fontId="14" fillId="0" borderId="24" xfId="1" applyNumberFormat="1" applyFont="1" applyFill="1" applyBorder="1" applyAlignment="1">
      <alignment horizontal="center"/>
    </xf>
    <xf numFmtId="164" fontId="14" fillId="0" borderId="22" xfId="1" applyNumberFormat="1" applyFont="1" applyFill="1" applyBorder="1" applyAlignment="1">
      <alignment horizontal="center"/>
    </xf>
    <xf numFmtId="1" fontId="0" fillId="0" borderId="0" xfId="0" applyNumberFormat="1"/>
    <xf numFmtId="164" fontId="11" fillId="0" borderId="18" xfId="1" applyNumberFormat="1" applyFont="1" applyFill="1" applyBorder="1" applyAlignment="1">
      <alignment horizontal="center"/>
    </xf>
    <xf numFmtId="0" fontId="11" fillId="0" borderId="52" xfId="0" applyFont="1" applyBorder="1" applyAlignment="1">
      <alignment horizontal="left" vertical="center" wrapText="1"/>
    </xf>
    <xf numFmtId="164" fontId="3" fillId="3" borderId="40" xfId="1" applyNumberFormat="1" applyFont="1" applyFill="1" applyBorder="1" applyAlignment="1">
      <alignment horizontal="center"/>
    </xf>
    <xf numFmtId="0" fontId="3" fillId="3" borderId="36" xfId="0" applyFont="1" applyFill="1" applyBorder="1" applyAlignment="1">
      <alignment horizontal="center"/>
    </xf>
    <xf numFmtId="0" fontId="3" fillId="3" borderId="40" xfId="0" applyFont="1" applyFill="1" applyBorder="1" applyAlignment="1">
      <alignment horizontal="center"/>
    </xf>
    <xf numFmtId="166" fontId="3" fillId="6" borderId="44" xfId="3" applyNumberFormat="1" applyFont="1" applyFill="1" applyBorder="1" applyAlignment="1">
      <alignment horizontal="center"/>
    </xf>
    <xf numFmtId="165" fontId="3" fillId="3" borderId="22" xfId="1" applyNumberFormat="1" applyFont="1" applyFill="1" applyBorder="1" applyAlignment="1">
      <alignment horizontal="center"/>
    </xf>
    <xf numFmtId="0" fontId="0" fillId="0" borderId="45" xfId="0" applyBorder="1" applyAlignment="1">
      <alignment horizontal="left" vertical="center" wrapText="1"/>
    </xf>
    <xf numFmtId="0" fontId="16" fillId="0" borderId="0" xfId="5" applyFill="1"/>
    <xf numFmtId="0" fontId="3" fillId="3" borderId="65" xfId="1" applyNumberFormat="1" applyFont="1" applyFill="1" applyBorder="1" applyAlignment="1">
      <alignment horizontal="center"/>
    </xf>
    <xf numFmtId="165" fontId="3" fillId="3" borderId="71" xfId="0" applyNumberFormat="1" applyFont="1" applyFill="1" applyBorder="1" applyAlignment="1">
      <alignment horizontal="center"/>
    </xf>
    <xf numFmtId="167" fontId="0" fillId="0" borderId="8" xfId="1" applyNumberFormat="1" applyFont="1" applyFill="1" applyBorder="1" applyAlignment="1">
      <alignment horizontal="center"/>
    </xf>
    <xf numFmtId="167" fontId="3" fillId="8" borderId="13" xfId="1" applyNumberFormat="1" applyFont="1" applyFill="1" applyBorder="1" applyAlignment="1">
      <alignment horizontal="center"/>
    </xf>
    <xf numFmtId="167" fontId="3" fillId="3" borderId="39" xfId="1" applyNumberFormat="1" applyFont="1" applyFill="1" applyBorder="1" applyAlignment="1">
      <alignment horizontal="center"/>
    </xf>
    <xf numFmtId="167" fontId="3" fillId="3" borderId="30" xfId="1" applyNumberFormat="1" applyFont="1" applyFill="1" applyBorder="1" applyAlignment="1">
      <alignment horizontal="center"/>
    </xf>
    <xf numFmtId="167" fontId="3" fillId="3" borderId="13" xfId="1" applyNumberFormat="1" applyFont="1" applyFill="1" applyBorder="1" applyAlignment="1">
      <alignment horizontal="center"/>
    </xf>
    <xf numFmtId="165" fontId="3" fillId="3" borderId="40" xfId="2" applyNumberFormat="1" applyFont="1" applyFill="1" applyBorder="1" applyAlignment="1">
      <alignment horizontal="center"/>
    </xf>
    <xf numFmtId="165" fontId="3" fillId="3" borderId="10" xfId="2" applyNumberFormat="1" applyFont="1" applyFill="1" applyBorder="1" applyAlignment="1">
      <alignment horizontal="center"/>
    </xf>
    <xf numFmtId="165" fontId="3" fillId="3" borderId="11" xfId="2" applyNumberFormat="1" applyFont="1" applyFill="1" applyBorder="1" applyAlignment="1">
      <alignment horizontal="center"/>
    </xf>
    <xf numFmtId="44" fontId="2" fillId="0" borderId="0" xfId="0" applyNumberFormat="1" applyFont="1"/>
    <xf numFmtId="168" fontId="2" fillId="0" borderId="0" xfId="3" applyNumberFormat="1" applyFont="1"/>
    <xf numFmtId="0" fontId="0" fillId="12" borderId="18" xfId="0" applyFill="1" applyBorder="1" applyAlignment="1" applyProtection="1">
      <alignment horizontal="center" vertical="center" wrapText="1"/>
      <protection hidden="1"/>
    </xf>
    <xf numFmtId="0" fontId="0" fillId="15" borderId="18" xfId="0" applyFill="1" applyBorder="1" applyAlignment="1" applyProtection="1">
      <alignment horizontal="center" vertical="center"/>
      <protection hidden="1"/>
    </xf>
    <xf numFmtId="0" fontId="11" fillId="15" borderId="18" xfId="0" applyFont="1" applyFill="1" applyBorder="1" applyAlignment="1" applyProtection="1">
      <alignment horizontal="center" vertical="center"/>
      <protection hidden="1"/>
    </xf>
    <xf numFmtId="0" fontId="11" fillId="15" borderId="30" xfId="0" applyFont="1" applyFill="1" applyBorder="1" applyAlignment="1" applyProtection="1">
      <alignment horizontal="center" vertical="center"/>
      <protection hidden="1"/>
    </xf>
    <xf numFmtId="0" fontId="0" fillId="16" borderId="18" xfId="0" applyFill="1" applyBorder="1" applyAlignment="1" applyProtection="1">
      <alignment horizontal="center" vertical="center" wrapText="1"/>
      <protection hidden="1"/>
    </xf>
    <xf numFmtId="44" fontId="0" fillId="17" borderId="18" xfId="0" applyNumberFormat="1" applyFill="1" applyBorder="1" applyAlignment="1" applyProtection="1">
      <alignment horizontal="center" vertical="center" wrapText="1"/>
      <protection hidden="1"/>
    </xf>
    <xf numFmtId="0" fontId="11" fillId="18" borderId="18" xfId="0" applyFont="1" applyFill="1" applyBorder="1" applyAlignment="1" applyProtection="1">
      <alignment horizontal="center" vertical="center" wrapText="1"/>
      <protection hidden="1"/>
    </xf>
    <xf numFmtId="0" fontId="0" fillId="18" borderId="18" xfId="0" applyFill="1" applyBorder="1" applyAlignment="1" applyProtection="1">
      <alignment horizontal="center" vertical="center" wrapText="1"/>
      <protection hidden="1"/>
    </xf>
    <xf numFmtId="0" fontId="0" fillId="0" borderId="18" xfId="0" applyBorder="1" applyProtection="1">
      <protection hidden="1"/>
    </xf>
    <xf numFmtId="0" fontId="0" fillId="0" borderId="35" xfId="0" applyBorder="1" applyProtection="1">
      <protection hidden="1"/>
    </xf>
    <xf numFmtId="0" fontId="0" fillId="0" borderId="18" xfId="0" applyBorder="1" applyAlignment="1">
      <alignment horizontal="left" vertical="center" wrapText="1"/>
    </xf>
    <xf numFmtId="0" fontId="0" fillId="0" borderId="32" xfId="0" applyBorder="1" applyProtection="1">
      <protection hidden="1"/>
    </xf>
    <xf numFmtId="44" fontId="0" fillId="0" borderId="18" xfId="2" applyFont="1" applyBorder="1" applyProtection="1">
      <protection hidden="1"/>
    </xf>
    <xf numFmtId="44" fontId="0" fillId="0" borderId="18" xfId="2" applyFont="1" applyBorder="1" applyProtection="1">
      <protection locked="0"/>
    </xf>
    <xf numFmtId="169" fontId="0" fillId="0" borderId="18" xfId="0" applyNumberFormat="1" applyBorder="1"/>
    <xf numFmtId="0" fontId="11" fillId="0" borderId="18" xfId="0" applyFont="1" applyBorder="1"/>
    <xf numFmtId="3" fontId="0" fillId="0" borderId="18" xfId="0" applyNumberFormat="1" applyBorder="1" applyProtection="1">
      <protection hidden="1"/>
    </xf>
    <xf numFmtId="164" fontId="14" fillId="0" borderId="8" xfId="1" applyNumberFormat="1" applyFont="1" applyFill="1" applyBorder="1" applyAlignment="1">
      <alignment horizontal="center"/>
    </xf>
    <xf numFmtId="166" fontId="14" fillId="0" borderId="9" xfId="3" applyNumberFormat="1" applyFont="1" applyFill="1" applyBorder="1" applyAlignment="1">
      <alignment horizontal="center"/>
    </xf>
    <xf numFmtId="166" fontId="14" fillId="0" borderId="69" xfId="3" applyNumberFormat="1" applyFont="1" applyFill="1" applyBorder="1" applyAlignment="1">
      <alignment horizontal="center"/>
    </xf>
    <xf numFmtId="166" fontId="14" fillId="0" borderId="27" xfId="3" applyNumberFormat="1" applyFont="1" applyFill="1" applyBorder="1" applyAlignment="1">
      <alignment horizontal="center"/>
    </xf>
    <xf numFmtId="166" fontId="14" fillId="0" borderId="74" xfId="3" applyNumberFormat="1" applyFont="1" applyFill="1" applyBorder="1" applyAlignment="1">
      <alignment horizontal="center"/>
    </xf>
    <xf numFmtId="166" fontId="14" fillId="0" borderId="59" xfId="3" applyNumberFormat="1" applyFont="1" applyFill="1" applyBorder="1" applyAlignment="1">
      <alignment horizontal="center"/>
    </xf>
    <xf numFmtId="166" fontId="14" fillId="0" borderId="0" xfId="3" applyNumberFormat="1" applyFont="1" applyFill="1" applyAlignment="1">
      <alignment horizontal="center"/>
    </xf>
    <xf numFmtId="166" fontId="3" fillId="3" borderId="44" xfId="3" applyNumberFormat="1" applyFont="1" applyFill="1" applyBorder="1" applyAlignment="1">
      <alignment horizontal="center"/>
    </xf>
    <xf numFmtId="166" fontId="3" fillId="3" borderId="56" xfId="3" applyNumberFormat="1" applyFont="1" applyFill="1" applyBorder="1" applyAlignment="1">
      <alignment horizontal="center"/>
    </xf>
    <xf numFmtId="164" fontId="3" fillId="3" borderId="68" xfId="1" applyNumberFormat="1" applyFont="1" applyFill="1" applyBorder="1" applyAlignment="1">
      <alignment horizontal="center"/>
    </xf>
    <xf numFmtId="165" fontId="0" fillId="0" borderId="8" xfId="0" applyNumberFormat="1" applyBorder="1" applyAlignment="1">
      <alignment horizontal="center"/>
    </xf>
    <xf numFmtId="165" fontId="0" fillId="0" borderId="18" xfId="2" applyNumberFormat="1" applyFont="1" applyBorder="1"/>
    <xf numFmtId="164" fontId="7" fillId="2" borderId="0" xfId="1" applyNumberFormat="1" applyFont="1" applyFill="1" applyBorder="1" applyAlignment="1">
      <alignment horizontal="center" vertical="center" wrapText="1"/>
    </xf>
    <xf numFmtId="164" fontId="7" fillId="2" borderId="17" xfId="1" applyNumberFormat="1" applyFont="1" applyFill="1" applyBorder="1" applyAlignment="1">
      <alignment horizontal="center" vertical="center" wrapText="1"/>
    </xf>
    <xf numFmtId="164" fontId="7" fillId="2" borderId="16" xfId="1" applyNumberFormat="1"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62" xfId="0" applyFont="1" applyFill="1" applyBorder="1" applyAlignment="1">
      <alignment horizontal="center" vertical="center" wrapText="1"/>
    </xf>
    <xf numFmtId="165" fontId="0" fillId="9" borderId="18" xfId="2" applyNumberFormat="1" applyFont="1" applyFill="1" applyBorder="1"/>
    <xf numFmtId="0" fontId="0" fillId="9" borderId="18" xfId="0" applyFill="1" applyBorder="1" applyAlignment="1">
      <alignment wrapText="1"/>
    </xf>
    <xf numFmtId="164" fontId="7" fillId="2" borderId="31" xfId="1" applyNumberFormat="1" applyFont="1" applyFill="1" applyBorder="1" applyAlignment="1">
      <alignment horizontal="center" vertical="center" wrapText="1"/>
    </xf>
    <xf numFmtId="0" fontId="7" fillId="2" borderId="29" xfId="0" applyFont="1" applyFill="1" applyBorder="1" applyAlignment="1">
      <alignment horizontal="center" vertical="center" wrapText="1"/>
    </xf>
    <xf numFmtId="9" fontId="0" fillId="9" borderId="18" xfId="3" applyFont="1" applyFill="1" applyBorder="1"/>
    <xf numFmtId="164" fontId="0" fillId="9" borderId="18" xfId="1" applyNumberFormat="1" applyFont="1" applyFill="1" applyBorder="1"/>
    <xf numFmtId="9" fontId="0" fillId="0" borderId="18" xfId="3" applyFont="1" applyBorder="1"/>
    <xf numFmtId="164" fontId="0" fillId="0" borderId="18" xfId="1" applyNumberFormat="1" applyFont="1" applyBorder="1"/>
    <xf numFmtId="0" fontId="0" fillId="0" borderId="18" xfId="0" applyBorder="1" applyAlignment="1">
      <alignment wrapText="1"/>
    </xf>
    <xf numFmtId="0" fontId="3" fillId="0" borderId="59" xfId="0" applyFont="1" applyBorder="1"/>
    <xf numFmtId="0" fontId="3" fillId="0" borderId="76" xfId="0" applyFont="1" applyBorder="1"/>
    <xf numFmtId="0" fontId="0" fillId="0" borderId="69" xfId="0" applyBorder="1"/>
    <xf numFmtId="0" fontId="0" fillId="0" borderId="76" xfId="0" applyBorder="1"/>
    <xf numFmtId="0" fontId="0" fillId="0" borderId="55" xfId="0" applyBorder="1"/>
    <xf numFmtId="0" fontId="3" fillId="0" borderId="28" xfId="0" applyFont="1" applyBorder="1"/>
    <xf numFmtId="0" fontId="0" fillId="0" borderId="28" xfId="0" applyBorder="1"/>
    <xf numFmtId="0" fontId="3" fillId="0" borderId="1" xfId="0" applyFont="1" applyBorder="1" applyAlignment="1">
      <alignment horizontal="center" wrapText="1"/>
    </xf>
    <xf numFmtId="0" fontId="3" fillId="0" borderId="41" xfId="0" applyFont="1" applyBorder="1" applyAlignment="1">
      <alignment horizontal="center" wrapText="1"/>
    </xf>
    <xf numFmtId="0" fontId="3" fillId="0" borderId="58" xfId="0" applyFont="1" applyBorder="1" applyAlignment="1">
      <alignment horizontal="center" wrapText="1"/>
    </xf>
    <xf numFmtId="164" fontId="0" fillId="0" borderId="9" xfId="1" applyNumberFormat="1" applyFont="1" applyFill="1" applyBorder="1" applyAlignment="1">
      <alignment horizontal="center"/>
    </xf>
    <xf numFmtId="164" fontId="8" fillId="8" borderId="77" xfId="1" applyNumberFormat="1" applyFont="1" applyFill="1" applyBorder="1" applyAlignment="1">
      <alignment horizontal="center"/>
    </xf>
    <xf numFmtId="164" fontId="3" fillId="6" borderId="59" xfId="1" applyNumberFormat="1" applyFont="1" applyFill="1" applyBorder="1" applyAlignment="1">
      <alignment horizontal="center"/>
    </xf>
    <xf numFmtId="0" fontId="7" fillId="7" borderId="34" xfId="0" applyFont="1" applyFill="1" applyBorder="1" applyAlignment="1">
      <alignment horizontal="center" vertical="center" wrapText="1"/>
    </xf>
    <xf numFmtId="164" fontId="7" fillId="7" borderId="37" xfId="1" applyNumberFormat="1" applyFont="1" applyFill="1" applyBorder="1" applyAlignment="1">
      <alignment horizontal="center" vertical="center" wrapText="1"/>
    </xf>
    <xf numFmtId="166" fontId="3" fillId="3" borderId="38" xfId="3" applyNumberFormat="1" applyFont="1" applyFill="1" applyBorder="1" applyAlignment="1">
      <alignment horizontal="center"/>
    </xf>
    <xf numFmtId="164" fontId="7" fillId="2" borderId="7" xfId="1" applyNumberFormat="1" applyFont="1" applyFill="1" applyBorder="1" applyAlignment="1">
      <alignment horizontal="center" vertical="center" wrapText="1"/>
    </xf>
    <xf numFmtId="164" fontId="7" fillId="2" borderId="10" xfId="1" applyNumberFormat="1" applyFont="1" applyFill="1" applyBorder="1" applyAlignment="1">
      <alignment horizontal="center" vertical="center" wrapText="1"/>
    </xf>
    <xf numFmtId="43" fontId="7" fillId="2" borderId="11" xfId="1" applyFont="1" applyFill="1" applyBorder="1" applyAlignment="1">
      <alignment horizontal="center" vertical="center" wrapText="1"/>
    </xf>
    <xf numFmtId="0" fontId="3" fillId="3" borderId="60" xfId="1" applyNumberFormat="1" applyFont="1" applyFill="1" applyBorder="1" applyAlignment="1">
      <alignment horizontal="center"/>
    </xf>
    <xf numFmtId="164" fontId="3" fillId="3" borderId="10" xfId="1" applyNumberFormat="1" applyFont="1" applyFill="1" applyBorder="1" applyAlignment="1">
      <alignment horizontal="center" vertical="center"/>
    </xf>
    <xf numFmtId="164" fontId="3" fillId="3" borderId="37" xfId="1" applyNumberFormat="1" applyFont="1" applyFill="1" applyBorder="1" applyAlignment="1">
      <alignment horizontal="center" vertical="center"/>
    </xf>
    <xf numFmtId="165" fontId="3" fillId="3" borderId="10" xfId="2" applyNumberFormat="1" applyFont="1" applyFill="1" applyBorder="1" applyAlignment="1">
      <alignment horizontal="center" vertical="center"/>
    </xf>
    <xf numFmtId="165" fontId="3" fillId="3" borderId="11" xfId="2" applyNumberFormat="1" applyFont="1" applyFill="1" applyBorder="1" applyAlignment="1">
      <alignment horizontal="center" vertical="center"/>
    </xf>
    <xf numFmtId="164" fontId="0" fillId="2" borderId="34" xfId="1" applyNumberFormat="1" applyFont="1" applyFill="1" applyBorder="1" applyAlignment="1">
      <alignment horizontal="center" vertical="center" wrapText="1"/>
    </xf>
    <xf numFmtId="165" fontId="0" fillId="2" borderId="6" xfId="2" applyNumberFormat="1" applyFont="1" applyFill="1" applyBorder="1" applyAlignment="1">
      <alignment horizontal="center" vertical="center" wrapText="1"/>
    </xf>
    <xf numFmtId="165" fontId="0" fillId="2" borderId="7" xfId="2" applyNumberFormat="1" applyFont="1" applyFill="1" applyBorder="1" applyAlignment="1">
      <alignment horizontal="center" vertical="center" wrapText="1"/>
    </xf>
    <xf numFmtId="0" fontId="3" fillId="3" borderId="2" xfId="0" applyFont="1" applyFill="1" applyBorder="1"/>
    <xf numFmtId="164" fontId="3" fillId="3" borderId="78" xfId="1" applyNumberFormat="1" applyFont="1" applyFill="1" applyBorder="1" applyAlignment="1">
      <alignment horizontal="center" vertical="center"/>
    </xf>
    <xf numFmtId="164" fontId="3" fillId="3" borderId="64" xfId="1" applyNumberFormat="1" applyFont="1" applyFill="1" applyBorder="1" applyAlignment="1">
      <alignment horizontal="center" vertical="center"/>
    </xf>
    <xf numFmtId="165" fontId="3" fillId="3" borderId="21" xfId="2" applyNumberFormat="1" applyFont="1" applyFill="1" applyBorder="1" applyAlignment="1">
      <alignment horizontal="center" vertical="center"/>
    </xf>
    <xf numFmtId="165" fontId="3" fillId="3" borderId="64" xfId="2" applyNumberFormat="1" applyFont="1" applyFill="1" applyBorder="1" applyAlignment="1">
      <alignment horizontal="center" vertical="center"/>
    </xf>
    <xf numFmtId="164" fontId="3" fillId="3" borderId="21" xfId="1" applyNumberFormat="1" applyFont="1" applyFill="1" applyBorder="1" applyAlignment="1">
      <alignment horizontal="center" vertical="center"/>
    </xf>
    <xf numFmtId="164" fontId="0" fillId="0" borderId="66" xfId="1" applyNumberFormat="1" applyFont="1" applyBorder="1" applyAlignment="1">
      <alignment horizontal="center" vertical="center"/>
    </xf>
    <xf numFmtId="165" fontId="0" fillId="0" borderId="23" xfId="2" applyNumberFormat="1" applyFont="1" applyBorder="1" applyAlignment="1">
      <alignment horizontal="center" vertical="center"/>
    </xf>
    <xf numFmtId="165" fontId="0" fillId="0" borderId="25" xfId="2" applyNumberFormat="1" applyFont="1" applyBorder="1" applyAlignment="1">
      <alignment horizontal="center" vertical="center"/>
    </xf>
    <xf numFmtId="2" fontId="0" fillId="0" borderId="18" xfId="0" applyNumberFormat="1" applyBorder="1"/>
    <xf numFmtId="0" fontId="6" fillId="2" borderId="78" xfId="0" applyFont="1" applyFill="1" applyBorder="1" applyAlignment="1">
      <alignment horizontal="center" vertical="center" wrapText="1"/>
    </xf>
    <xf numFmtId="0" fontId="6" fillId="7" borderId="76"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0" fillId="7" borderId="20" xfId="0" applyFont="1" applyFill="1" applyBorder="1" applyAlignment="1">
      <alignment horizontal="center" vertical="center"/>
    </xf>
    <xf numFmtId="0" fontId="20" fillId="7" borderId="18" xfId="0" applyFont="1" applyFill="1" applyBorder="1" applyAlignment="1">
      <alignment horizontal="center" vertical="center"/>
    </xf>
    <xf numFmtId="0" fontId="20" fillId="7" borderId="19" xfId="0" applyFont="1" applyFill="1" applyBorder="1" applyAlignment="1">
      <alignment horizontal="center" vertical="center"/>
    </xf>
    <xf numFmtId="164" fontId="7" fillId="0" borderId="0" xfId="1" applyNumberFormat="1" applyFont="1" applyFill="1" applyBorder="1" applyAlignment="1">
      <alignment horizontal="center" vertical="center" wrapText="1"/>
    </xf>
    <xf numFmtId="3" fontId="0" fillId="0" borderId="0" xfId="0" applyNumberFormat="1"/>
    <xf numFmtId="10" fontId="0" fillId="0" borderId="0" xfId="0" applyNumberFormat="1"/>
    <xf numFmtId="9" fontId="0" fillId="0" borderId="0" xfId="0" applyNumberFormat="1"/>
    <xf numFmtId="0" fontId="0" fillId="0" borderId="0" xfId="0" applyAlignment="1">
      <alignment wrapText="1"/>
    </xf>
    <xf numFmtId="0" fontId="21" fillId="0" borderId="0" xfId="0" applyFont="1"/>
    <xf numFmtId="164" fontId="0" fillId="0" borderId="0" xfId="0" applyNumberFormat="1"/>
    <xf numFmtId="164" fontId="1" fillId="0" borderId="0" xfId="1" applyNumberFormat="1" applyFont="1" applyFill="1" applyBorder="1"/>
    <xf numFmtId="164" fontId="7" fillId="2" borderId="18" xfId="1" applyNumberFormat="1" applyFont="1" applyFill="1" applyBorder="1" applyAlignment="1">
      <alignment horizontal="center" vertical="center" wrapText="1"/>
    </xf>
    <xf numFmtId="0" fontId="0" fillId="0" borderId="35" xfId="0" applyBorder="1" applyAlignment="1">
      <alignment wrapText="1"/>
    </xf>
    <xf numFmtId="0" fontId="0" fillId="5" borderId="35" xfId="0" applyFill="1" applyBorder="1" applyAlignment="1">
      <alignment wrapText="1"/>
    </xf>
    <xf numFmtId="164" fontId="0" fillId="5" borderId="18" xfId="1" applyNumberFormat="1" applyFont="1" applyFill="1" applyBorder="1"/>
    <xf numFmtId="0" fontId="0" fillId="9" borderId="35" xfId="0" applyFill="1" applyBorder="1" applyAlignment="1">
      <alignment wrapText="1"/>
    </xf>
    <xf numFmtId="164" fontId="1" fillId="9" borderId="18" xfId="1" applyNumberFormat="1" applyFont="1" applyFill="1" applyBorder="1"/>
    <xf numFmtId="9" fontId="1" fillId="0" borderId="0" xfId="3" applyFont="1" applyFill="1" applyBorder="1"/>
    <xf numFmtId="0" fontId="3" fillId="0" borderId="0" xfId="0" applyFont="1"/>
    <xf numFmtId="0" fontId="23" fillId="5" borderId="0" xfId="6" applyFont="1" applyFill="1"/>
    <xf numFmtId="0" fontId="22" fillId="5" borderId="0" xfId="6" applyFill="1"/>
    <xf numFmtId="0" fontId="22" fillId="5" borderId="0" xfId="6" applyFill="1" applyAlignment="1">
      <alignment horizontal="center"/>
    </xf>
    <xf numFmtId="0" fontId="0" fillId="5" borderId="0" xfId="0" applyFill="1"/>
    <xf numFmtId="0" fontId="22" fillId="0" borderId="0" xfId="6"/>
    <xf numFmtId="0" fontId="24" fillId="5" borderId="0" xfId="6" applyFont="1" applyFill="1"/>
    <xf numFmtId="0" fontId="24" fillId="5" borderId="0" xfId="6" applyFont="1" applyFill="1" applyAlignment="1">
      <alignment horizontal="center"/>
    </xf>
    <xf numFmtId="0" fontId="22" fillId="5" borderId="0" xfId="6" applyFill="1" applyAlignment="1">
      <alignment horizontal="center" vertical="center" wrapText="1"/>
    </xf>
    <xf numFmtId="0" fontId="26" fillId="20" borderId="79" xfId="6" applyFont="1" applyFill="1" applyBorder="1" applyAlignment="1">
      <alignment horizontal="center" vertical="center" wrapText="1"/>
    </xf>
    <xf numFmtId="0" fontId="26" fillId="20" borderId="80" xfId="6" applyFont="1" applyFill="1" applyBorder="1" applyAlignment="1">
      <alignment horizontal="center" vertical="center" wrapText="1"/>
    </xf>
    <xf numFmtId="0" fontId="26" fillId="20" borderId="81" xfId="6" applyFont="1" applyFill="1" applyBorder="1" applyAlignment="1">
      <alignment horizontal="center" vertical="center" wrapText="1"/>
    </xf>
    <xf numFmtId="0" fontId="26" fillId="4" borderId="82" xfId="0" applyFont="1" applyFill="1" applyBorder="1" applyAlignment="1">
      <alignment horizontal="center" vertical="center" wrapText="1"/>
    </xf>
    <xf numFmtId="0" fontId="26" fillId="4" borderId="83" xfId="0" applyFont="1" applyFill="1" applyBorder="1" applyAlignment="1">
      <alignment horizontal="center" vertical="center" wrapText="1"/>
    </xf>
    <xf numFmtId="0" fontId="27" fillId="20" borderId="80" xfId="6" applyFont="1" applyFill="1" applyBorder="1" applyAlignment="1">
      <alignment horizontal="center" vertical="center" wrapText="1"/>
    </xf>
    <xf numFmtId="0" fontId="27" fillId="20" borderId="84" xfId="6" applyFont="1" applyFill="1" applyBorder="1" applyAlignment="1">
      <alignment horizontal="center" vertical="center" wrapText="1"/>
    </xf>
    <xf numFmtId="0" fontId="22" fillId="0" borderId="0" xfId="6" applyAlignment="1">
      <alignment horizontal="center" vertical="center" wrapText="1"/>
    </xf>
    <xf numFmtId="0" fontId="26" fillId="20" borderId="85" xfId="6" applyFont="1" applyFill="1" applyBorder="1" applyAlignment="1">
      <alignment horizontal="center" vertical="center" wrapText="1"/>
    </xf>
    <xf numFmtId="0" fontId="26" fillId="20" borderId="86" xfId="6" applyFont="1" applyFill="1" applyBorder="1" applyAlignment="1">
      <alignment horizontal="center" vertical="center" wrapText="1"/>
    </xf>
    <xf numFmtId="0" fontId="27" fillId="20" borderId="86" xfId="6" applyFont="1" applyFill="1" applyBorder="1" applyAlignment="1">
      <alignment horizontal="center" vertical="center" wrapText="1"/>
    </xf>
    <xf numFmtId="0" fontId="27" fillId="20" borderId="86" xfId="6" quotePrefix="1" applyFont="1" applyFill="1" applyBorder="1" applyAlignment="1">
      <alignment horizontal="center" vertical="center" wrapText="1"/>
    </xf>
    <xf numFmtId="0" fontId="27" fillId="20" borderId="84" xfId="6" quotePrefix="1" applyFont="1" applyFill="1" applyBorder="1" applyAlignment="1">
      <alignment horizontal="center" vertical="center" wrapText="1"/>
    </xf>
    <xf numFmtId="0" fontId="26" fillId="5" borderId="85" xfId="6" applyFont="1" applyFill="1" applyBorder="1" applyAlignment="1">
      <alignment horizontal="center" vertical="center" wrapText="1"/>
    </xf>
    <xf numFmtId="0" fontId="26" fillId="5" borderId="86" xfId="6" applyFont="1" applyFill="1" applyBorder="1" applyAlignment="1">
      <alignment horizontal="center" vertical="center" wrapText="1"/>
    </xf>
    <xf numFmtId="0" fontId="27" fillId="5" borderId="84" xfId="6" applyFont="1" applyFill="1" applyBorder="1" applyAlignment="1">
      <alignment horizontal="center" vertical="center" wrapText="1"/>
    </xf>
    <xf numFmtId="0" fontId="26" fillId="0" borderId="85" xfId="6" applyFont="1" applyBorder="1" applyAlignment="1">
      <alignment horizontal="center"/>
    </xf>
    <xf numFmtId="0" fontId="26" fillId="0" borderId="86" xfId="6" applyFont="1" applyBorder="1" applyAlignment="1">
      <alignment horizontal="center"/>
    </xf>
    <xf numFmtId="164" fontId="26" fillId="0" borderId="86" xfId="1" applyNumberFormat="1" applyFont="1" applyBorder="1" applyAlignment="1">
      <alignment horizontal="right"/>
    </xf>
    <xf numFmtId="10" fontId="27" fillId="0" borderId="86" xfId="3" applyNumberFormat="1" applyFont="1" applyBorder="1" applyAlignment="1">
      <alignment horizontal="right"/>
    </xf>
    <xf numFmtId="3" fontId="27" fillId="0" borderId="87" xfId="6" applyNumberFormat="1" applyFont="1" applyBorder="1" applyAlignment="1">
      <alignment horizontal="center"/>
    </xf>
    <xf numFmtId="43" fontId="22" fillId="0" borderId="0" xfId="1" applyFont="1"/>
    <xf numFmtId="0" fontId="26" fillId="0" borderId="85" xfId="6" applyFont="1" applyBorder="1" applyAlignment="1">
      <alignment horizontal="right"/>
    </xf>
    <xf numFmtId="0" fontId="26" fillId="0" borderId="88" xfId="6" applyFont="1" applyBorder="1" applyAlignment="1">
      <alignment horizontal="center"/>
    </xf>
    <xf numFmtId="0" fontId="26" fillId="0" borderId="89" xfId="6" applyFont="1" applyBorder="1" applyAlignment="1">
      <alignment horizontal="center"/>
    </xf>
    <xf numFmtId="164" fontId="26" fillId="0" borderId="89" xfId="1" applyNumberFormat="1" applyFont="1" applyBorder="1" applyAlignment="1">
      <alignment horizontal="right"/>
    </xf>
    <xf numFmtId="10" fontId="26" fillId="0" borderId="89" xfId="1" applyNumberFormat="1" applyFont="1" applyBorder="1" applyAlignment="1">
      <alignment horizontal="right"/>
    </xf>
    <xf numFmtId="10" fontId="27" fillId="0" borderId="89" xfId="1" applyNumberFormat="1" applyFont="1" applyBorder="1" applyAlignment="1">
      <alignment horizontal="right"/>
    </xf>
    <xf numFmtId="0" fontId="26" fillId="5" borderId="0" xfId="6" applyFont="1" applyFill="1" applyAlignment="1">
      <alignment horizontal="right"/>
    </xf>
    <xf numFmtId="0" fontId="26" fillId="5" borderId="0" xfId="6" applyFont="1" applyFill="1" applyAlignment="1">
      <alignment horizontal="center"/>
    </xf>
    <xf numFmtId="164" fontId="28" fillId="5" borderId="0" xfId="1" applyNumberFormat="1" applyFont="1" applyFill="1" applyBorder="1" applyAlignment="1">
      <alignment horizontal="center" vertical="center"/>
    </xf>
    <xf numFmtId="164" fontId="28" fillId="5" borderId="0" xfId="1" applyNumberFormat="1" applyFont="1" applyFill="1" applyBorder="1" applyAlignment="1">
      <alignment horizontal="center" vertical="center" wrapText="1"/>
    </xf>
    <xf numFmtId="164" fontId="28" fillId="5" borderId="0" xfId="1" applyNumberFormat="1" applyFont="1" applyFill="1" applyBorder="1" applyAlignment="1">
      <alignment horizontal="right"/>
    </xf>
    <xf numFmtId="3" fontId="27" fillId="5" borderId="0" xfId="6" applyNumberFormat="1" applyFont="1" applyFill="1" applyAlignment="1">
      <alignment horizontal="center"/>
    </xf>
    <xf numFmtId="0" fontId="27" fillId="5" borderId="0" xfId="6" applyFont="1" applyFill="1"/>
    <xf numFmtId="0" fontId="11" fillId="5" borderId="0" xfId="6" applyFont="1" applyFill="1" applyAlignment="1">
      <alignment horizontal="center"/>
    </xf>
    <xf numFmtId="0" fontId="11" fillId="5" borderId="0" xfId="6" applyFont="1" applyFill="1"/>
    <xf numFmtId="0" fontId="29" fillId="5" borderId="0" xfId="0" applyFont="1" applyFill="1" applyAlignment="1">
      <alignment horizontal="left" vertical="center" readingOrder="1"/>
    </xf>
    <xf numFmtId="0" fontId="31" fillId="0" borderId="0" xfId="7" applyFont="1"/>
    <xf numFmtId="0" fontId="30" fillId="0" borderId="0" xfId="7"/>
    <xf numFmtId="0" fontId="30" fillId="0" borderId="0" xfId="7" applyAlignment="1">
      <alignment vertical="top"/>
    </xf>
    <xf numFmtId="0" fontId="34" fillId="0" borderId="0" xfId="0" applyFont="1"/>
    <xf numFmtId="164" fontId="0" fillId="0" borderId="18" xfId="0" applyNumberFormat="1" applyBorder="1"/>
    <xf numFmtId="0" fontId="7" fillId="0" borderId="0" xfId="0" applyFont="1" applyAlignment="1">
      <alignment horizontal="center" vertical="center" wrapText="1"/>
    </xf>
    <xf numFmtId="10" fontId="0" fillId="0" borderId="0" xfId="3" applyNumberFormat="1" applyFont="1" applyFill="1" applyBorder="1" applyAlignment="1">
      <alignment horizontal="center" vertical="center"/>
    </xf>
    <xf numFmtId="0" fontId="35" fillId="0" borderId="0" xfId="7" applyFont="1" applyAlignment="1">
      <alignment vertical="center"/>
    </xf>
    <xf numFmtId="0" fontId="35" fillId="0" borderId="0" xfId="7" applyFont="1" applyAlignment="1">
      <alignment horizontal="center" vertical="center"/>
    </xf>
    <xf numFmtId="44" fontId="0" fillId="0" borderId="18" xfId="2" applyFont="1" applyFill="1" applyBorder="1" applyProtection="1">
      <protection hidden="1"/>
    </xf>
    <xf numFmtId="44" fontId="0" fillId="0" borderId="18" xfId="2" applyFont="1" applyFill="1" applyBorder="1" applyProtection="1">
      <protection locked="0"/>
    </xf>
    <xf numFmtId="165" fontId="3" fillId="3" borderId="22" xfId="0" applyNumberFormat="1" applyFont="1" applyFill="1" applyBorder="1" applyAlignment="1">
      <alignment horizontal="center"/>
    </xf>
    <xf numFmtId="0" fontId="11" fillId="0" borderId="14" xfId="0" applyFont="1" applyBorder="1"/>
    <xf numFmtId="164" fontId="3" fillId="3" borderId="72" xfId="0" applyNumberFormat="1" applyFont="1" applyFill="1" applyBorder="1" applyAlignment="1">
      <alignment horizontal="center"/>
    </xf>
    <xf numFmtId="165" fontId="8" fillId="3" borderId="21" xfId="0" applyNumberFormat="1" applyFont="1" applyFill="1" applyBorder="1" applyAlignment="1">
      <alignment horizontal="center"/>
    </xf>
    <xf numFmtId="164" fontId="2" fillId="0" borderId="0" xfId="0" applyNumberFormat="1" applyFont="1"/>
    <xf numFmtId="3" fontId="27" fillId="0" borderId="90" xfId="1" applyNumberFormat="1" applyFont="1" applyBorder="1" applyAlignment="1">
      <alignment horizontal="center"/>
    </xf>
    <xf numFmtId="0" fontId="40" fillId="2" borderId="21" xfId="0" applyFont="1" applyFill="1" applyBorder="1" applyAlignment="1">
      <alignment horizontal="center" vertical="center" wrapText="1"/>
    </xf>
    <xf numFmtId="0" fontId="40" fillId="2" borderId="64" xfId="0" applyFont="1" applyFill="1" applyBorder="1" applyAlignment="1">
      <alignment horizontal="center" vertical="center" wrapText="1"/>
    </xf>
    <xf numFmtId="0" fontId="41" fillId="3" borderId="58" xfId="0" applyFont="1" applyFill="1" applyBorder="1" applyAlignment="1">
      <alignment horizontal="center" vertical="center" wrapText="1"/>
    </xf>
    <xf numFmtId="0" fontId="41" fillId="3" borderId="60" xfId="0" applyFont="1" applyFill="1" applyBorder="1" applyAlignment="1">
      <alignment horizontal="center" vertical="center" wrapText="1"/>
    </xf>
    <xf numFmtId="165" fontId="0" fillId="0" borderId="55" xfId="2" applyNumberFormat="1" applyFont="1" applyBorder="1"/>
    <xf numFmtId="165" fontId="0" fillId="0" borderId="76" xfId="2" applyNumberFormat="1" applyFont="1" applyBorder="1"/>
    <xf numFmtId="165" fontId="3" fillId="0" borderId="28" xfId="0" applyNumberFormat="1" applyFont="1" applyBorder="1"/>
    <xf numFmtId="165" fontId="0" fillId="0" borderId="55" xfId="0" applyNumberFormat="1" applyBorder="1"/>
    <xf numFmtId="164" fontId="0" fillId="0" borderId="18" xfId="1" applyNumberFormat="1" applyFont="1" applyBorder="1" applyAlignment="1">
      <alignment horizontal="right"/>
    </xf>
    <xf numFmtId="0" fontId="0" fillId="0" borderId="18" xfId="1" applyNumberFormat="1" applyFont="1" applyBorder="1" applyAlignment="1">
      <alignment horizontal="right"/>
    </xf>
    <xf numFmtId="164" fontId="0" fillId="9" borderId="18" xfId="1" applyNumberFormat="1" applyFont="1" applyFill="1" applyBorder="1" applyAlignment="1">
      <alignment horizontal="right"/>
    </xf>
    <xf numFmtId="0" fontId="0" fillId="0" borderId="18" xfId="3" applyNumberFormat="1" applyFont="1" applyBorder="1" applyAlignment="1">
      <alignment horizontal="right"/>
    </xf>
    <xf numFmtId="0" fontId="7" fillId="2" borderId="31" xfId="1" applyNumberFormat="1" applyFont="1" applyFill="1" applyBorder="1" applyAlignment="1">
      <alignment horizontal="center" vertical="center" wrapText="1"/>
    </xf>
    <xf numFmtId="0" fontId="7" fillId="2" borderId="18" xfId="1" applyNumberFormat="1" applyFont="1" applyFill="1" applyBorder="1" applyAlignment="1">
      <alignment horizontal="center" vertical="center" wrapText="1"/>
    </xf>
    <xf numFmtId="0" fontId="0" fillId="0" borderId="18" xfId="0" applyBorder="1" applyAlignment="1">
      <alignment horizontal="center" wrapText="1"/>
    </xf>
    <xf numFmtId="3" fontId="0" fillId="21" borderId="18" xfId="0" applyNumberFormat="1" applyFill="1" applyBorder="1" applyAlignment="1">
      <alignment horizontal="center" vertical="center" wrapText="1"/>
    </xf>
    <xf numFmtId="0" fontId="0" fillId="0" borderId="35" xfId="0" applyBorder="1" applyAlignment="1">
      <alignment vertical="center"/>
    </xf>
    <xf numFmtId="164" fontId="3" fillId="3" borderId="38" xfId="1" applyNumberFormat="1" applyFont="1" applyFill="1" applyBorder="1" applyAlignment="1">
      <alignment horizontal="center" vertical="center"/>
    </xf>
    <xf numFmtId="0" fontId="3" fillId="3" borderId="1" xfId="0" applyFont="1" applyFill="1" applyBorder="1"/>
    <xf numFmtId="0" fontId="0" fillId="0" borderId="9" xfId="0" applyBorder="1" applyAlignment="1">
      <alignment horizontal="left" vertical="center" wrapText="1"/>
    </xf>
    <xf numFmtId="0" fontId="0" fillId="0" borderId="28" xfId="0" applyBorder="1" applyAlignment="1">
      <alignment vertical="center" wrapText="1"/>
    </xf>
    <xf numFmtId="0" fontId="0" fillId="0" borderId="69" xfId="0" applyBorder="1" applyAlignment="1">
      <alignment horizontal="left" vertical="center" wrapText="1"/>
    </xf>
    <xf numFmtId="0" fontId="0" fillId="0" borderId="28" xfId="0" applyBorder="1" applyAlignment="1">
      <alignment horizontal="left" vertical="center" wrapText="1"/>
    </xf>
    <xf numFmtId="0" fontId="3" fillId="3" borderId="3" xfId="0" applyFont="1" applyFill="1" applyBorder="1"/>
    <xf numFmtId="0" fontId="0" fillId="2" borderId="54" xfId="0" applyFill="1" applyBorder="1" applyAlignment="1">
      <alignment vertical="center" wrapText="1"/>
    </xf>
    <xf numFmtId="0" fontId="0" fillId="2" borderId="42" xfId="0" applyFill="1" applyBorder="1" applyAlignment="1">
      <alignment vertical="center" wrapText="1"/>
    </xf>
    <xf numFmtId="0" fontId="0" fillId="0" borderId="73" xfId="0" applyBorder="1"/>
    <xf numFmtId="0" fontId="3" fillId="3" borderId="12" xfId="0" applyFont="1" applyFill="1" applyBorder="1"/>
    <xf numFmtId="165" fontId="3" fillId="3" borderId="2" xfId="0" applyNumberFormat="1" applyFont="1" applyFill="1" applyBorder="1" applyAlignment="1">
      <alignment horizontal="center" vertical="center"/>
    </xf>
    <xf numFmtId="165" fontId="3" fillId="3" borderId="64" xfId="0" applyNumberFormat="1" applyFont="1" applyFill="1" applyBorder="1" applyAlignment="1">
      <alignment horizontal="center" vertical="center"/>
    </xf>
    <xf numFmtId="0" fontId="43" fillId="0" borderId="0" xfId="0" applyFont="1"/>
    <xf numFmtId="0" fontId="45" fillId="24" borderId="18" xfId="0" applyFont="1" applyFill="1" applyBorder="1" applyAlignment="1">
      <alignment horizontal="center" vertical="center"/>
    </xf>
    <xf numFmtId="0" fontId="45" fillId="24" borderId="18" xfId="0" applyFont="1" applyFill="1" applyBorder="1" applyAlignment="1">
      <alignment horizontal="center" vertical="center" wrapText="1"/>
    </xf>
    <xf numFmtId="0" fontId="46" fillId="0" borderId="18" xfId="0" applyFont="1" applyBorder="1"/>
    <xf numFmtId="10" fontId="17" fillId="0" borderId="18" xfId="0" applyNumberFormat="1" applyFont="1" applyBorder="1" applyAlignment="1">
      <alignment horizontal="center"/>
    </xf>
    <xf numFmtId="167" fontId="0" fillId="0" borderId="0" xfId="1" applyNumberFormat="1" applyFont="1"/>
    <xf numFmtId="0" fontId="0" fillId="0" borderId="93" xfId="0" applyBorder="1" applyAlignment="1">
      <alignment vertical="center" wrapText="1"/>
    </xf>
    <xf numFmtId="0" fontId="3" fillId="3" borderId="21" xfId="0" applyFont="1" applyFill="1" applyBorder="1"/>
    <xf numFmtId="0" fontId="3" fillId="3" borderId="38" xfId="0" applyFont="1" applyFill="1" applyBorder="1"/>
    <xf numFmtId="165" fontId="3" fillId="3" borderId="21" xfId="2" applyNumberFormat="1" applyFont="1" applyFill="1" applyBorder="1" applyAlignment="1">
      <alignment horizontal="center"/>
    </xf>
    <xf numFmtId="165" fontId="3" fillId="3" borderId="64" xfId="2" applyNumberFormat="1" applyFont="1" applyFill="1" applyBorder="1" applyAlignment="1">
      <alignment horizontal="center"/>
    </xf>
    <xf numFmtId="0" fontId="41" fillId="3" borderId="1" xfId="0" applyFont="1" applyFill="1" applyBorder="1" applyAlignment="1">
      <alignment horizontal="center" vertical="center" wrapText="1"/>
    </xf>
    <xf numFmtId="0" fontId="41" fillId="3" borderId="33" xfId="0" applyFont="1" applyFill="1" applyBorder="1" applyAlignment="1">
      <alignment horizontal="center" vertical="center" wrapText="1"/>
    </xf>
    <xf numFmtId="0" fontId="40" fillId="2" borderId="38" xfId="0" applyFont="1" applyFill="1" applyBorder="1" applyAlignment="1">
      <alignment horizontal="center" vertical="center" wrapText="1"/>
    </xf>
    <xf numFmtId="0" fontId="41" fillId="3" borderId="65" xfId="0" applyFont="1" applyFill="1" applyBorder="1" applyAlignment="1">
      <alignment horizontal="center" vertical="center" wrapText="1"/>
    </xf>
    <xf numFmtId="0" fontId="3" fillId="3" borderId="64" xfId="0" applyFont="1" applyFill="1" applyBorder="1"/>
    <xf numFmtId="165" fontId="3" fillId="3" borderId="21" xfId="2" applyNumberFormat="1" applyFont="1" applyFill="1" applyBorder="1"/>
    <xf numFmtId="165" fontId="3" fillId="3" borderId="64" xfId="2" applyNumberFormat="1" applyFont="1" applyFill="1" applyBorder="1"/>
    <xf numFmtId="164" fontId="3" fillId="3" borderId="64" xfId="1" applyNumberFormat="1" applyFont="1" applyFill="1" applyBorder="1" applyAlignment="1"/>
    <xf numFmtId="164" fontId="3" fillId="3" borderId="38" xfId="1" applyNumberFormat="1" applyFont="1" applyFill="1" applyBorder="1" applyAlignment="1"/>
    <xf numFmtId="164" fontId="3" fillId="6" borderId="21" xfId="1" applyNumberFormat="1" applyFont="1" applyFill="1" applyBorder="1" applyAlignment="1"/>
    <xf numFmtId="164" fontId="3" fillId="6" borderId="64" xfId="1" applyNumberFormat="1" applyFont="1" applyFill="1" applyBorder="1" applyAlignment="1"/>
    <xf numFmtId="164" fontId="3" fillId="3" borderId="21" xfId="1" applyNumberFormat="1" applyFont="1" applyFill="1" applyBorder="1" applyAlignment="1">
      <alignment horizontal="center"/>
    </xf>
    <xf numFmtId="164" fontId="3" fillId="3" borderId="64" xfId="1" applyNumberFormat="1" applyFont="1" applyFill="1" applyBorder="1" applyAlignment="1">
      <alignment horizontal="center"/>
    </xf>
    <xf numFmtId="0" fontId="3" fillId="3" borderId="63" xfId="0" applyFont="1" applyFill="1" applyBorder="1"/>
    <xf numFmtId="0" fontId="7" fillId="2" borderId="29" xfId="0" applyFont="1" applyFill="1" applyBorder="1" applyAlignment="1" applyProtection="1">
      <alignment horizontal="center" vertical="center" wrapText="1"/>
      <protection locked="0"/>
    </xf>
    <xf numFmtId="165" fontId="3" fillId="0" borderId="58" xfId="2" applyNumberFormat="1" applyFont="1" applyBorder="1" applyAlignment="1">
      <alignment horizontal="center" wrapText="1"/>
    </xf>
    <xf numFmtId="165" fontId="3" fillId="0" borderId="41" xfId="2" applyNumberFormat="1" applyFont="1" applyBorder="1" applyAlignment="1">
      <alignment horizontal="center" wrapText="1"/>
    </xf>
    <xf numFmtId="165" fontId="3" fillId="0" borderId="1" xfId="2" applyNumberFormat="1" applyFont="1" applyBorder="1" applyAlignment="1">
      <alignment horizontal="center" wrapText="1"/>
    </xf>
    <xf numFmtId="165" fontId="0" fillId="0" borderId="0" xfId="0" applyNumberFormat="1"/>
    <xf numFmtId="165" fontId="0" fillId="0" borderId="76" xfId="0" applyNumberFormat="1" applyBorder="1"/>
    <xf numFmtId="165" fontId="3" fillId="0" borderId="26" xfId="2" applyNumberFormat="1" applyFont="1" applyBorder="1"/>
    <xf numFmtId="43" fontId="3" fillId="0" borderId="26" xfId="1" applyFont="1" applyBorder="1"/>
    <xf numFmtId="165" fontId="0" fillId="0" borderId="45" xfId="0" applyNumberFormat="1" applyBorder="1"/>
    <xf numFmtId="165" fontId="0" fillId="0" borderId="45" xfId="2" applyNumberFormat="1" applyFont="1" applyBorder="1"/>
    <xf numFmtId="165" fontId="0" fillId="0" borderId="74" xfId="2" applyNumberFormat="1" applyFont="1" applyBorder="1"/>
    <xf numFmtId="165" fontId="3" fillId="0" borderId="55" xfId="2" applyNumberFormat="1" applyFont="1" applyBorder="1"/>
    <xf numFmtId="165" fontId="3" fillId="0" borderId="62" xfId="2" applyNumberFormat="1" applyFont="1" applyBorder="1"/>
    <xf numFmtId="43" fontId="3" fillId="0" borderId="53" xfId="1" applyFont="1" applyBorder="1"/>
    <xf numFmtId="170" fontId="0" fillId="0" borderId="18" xfId="2" applyNumberFormat="1" applyFont="1" applyBorder="1" applyAlignment="1">
      <alignment horizontal="right"/>
    </xf>
    <xf numFmtId="170" fontId="0" fillId="0" borderId="18" xfId="3" applyNumberFormat="1" applyFont="1" applyBorder="1" applyAlignment="1">
      <alignment horizontal="right"/>
    </xf>
    <xf numFmtId="170" fontId="0" fillId="0" borderId="18" xfId="0" applyNumberFormat="1" applyBorder="1" applyAlignment="1">
      <alignment horizontal="right"/>
    </xf>
    <xf numFmtId="43" fontId="0" fillId="0" borderId="18" xfId="3" applyNumberFormat="1" applyFont="1" applyBorder="1" applyAlignment="1">
      <alignment horizontal="right"/>
    </xf>
    <xf numFmtId="0" fontId="7" fillId="2" borderId="94" xfId="0" applyFont="1" applyFill="1" applyBorder="1" applyAlignment="1">
      <alignment horizontal="center" vertical="center" wrapText="1"/>
    </xf>
    <xf numFmtId="164" fontId="17" fillId="0" borderId="95" xfId="0" applyNumberFormat="1" applyFont="1" applyBorder="1" applyAlignment="1">
      <alignment horizontal="center" vertical="center"/>
    </xf>
    <xf numFmtId="164" fontId="17" fillId="0" borderId="30" xfId="0" applyNumberFormat="1" applyFont="1" applyBorder="1" applyAlignment="1">
      <alignment horizontal="center" vertical="center"/>
    </xf>
    <xf numFmtId="164" fontId="17" fillId="25" borderId="30" xfId="0" applyNumberFormat="1" applyFont="1" applyFill="1" applyBorder="1" applyAlignment="1">
      <alignment horizontal="center" vertical="center"/>
    </xf>
    <xf numFmtId="0" fontId="17" fillId="25" borderId="30" xfId="0" applyFont="1" applyFill="1" applyBorder="1" applyAlignment="1">
      <alignment horizontal="center" vertical="center"/>
    </xf>
    <xf numFmtId="0" fontId="17" fillId="25" borderId="31" xfId="0" applyFont="1" applyFill="1" applyBorder="1" applyAlignment="1">
      <alignment horizontal="center" vertical="center"/>
    </xf>
    <xf numFmtId="0" fontId="7" fillId="2" borderId="96" xfId="0" applyFont="1" applyFill="1" applyBorder="1" applyAlignment="1">
      <alignment horizontal="center" vertical="center" wrapText="1"/>
    </xf>
    <xf numFmtId="164" fontId="1" fillId="0" borderId="97" xfId="1" applyNumberFormat="1" applyFont="1" applyBorder="1" applyAlignment="1">
      <alignment horizontal="center" vertical="center"/>
    </xf>
    <xf numFmtId="164" fontId="1" fillId="0" borderId="13" xfId="1" applyNumberFormat="1" applyFont="1" applyBorder="1" applyAlignment="1">
      <alignment horizontal="center" vertical="center"/>
    </xf>
    <xf numFmtId="10" fontId="1" fillId="0" borderId="13" xfId="0" applyNumberFormat="1" applyFont="1" applyBorder="1" applyAlignment="1">
      <alignment horizontal="center" vertical="center"/>
    </xf>
    <xf numFmtId="9" fontId="1" fillId="0" borderId="11" xfId="0" applyNumberFormat="1" applyFont="1" applyBorder="1" applyAlignment="1">
      <alignment horizontal="center" vertical="center"/>
    </xf>
    <xf numFmtId="0" fontId="36" fillId="0" borderId="0" xfId="0" applyFont="1" applyAlignment="1">
      <alignment horizontal="left" vertical="top" wrapText="1"/>
    </xf>
    <xf numFmtId="172" fontId="0" fillId="0" borderId="0" xfId="0" applyNumberFormat="1"/>
    <xf numFmtId="172" fontId="0" fillId="0" borderId="0" xfId="0" applyNumberFormat="1" applyAlignment="1">
      <alignment wrapText="1"/>
    </xf>
    <xf numFmtId="0" fontId="0" fillId="5" borderId="56" xfId="0" applyFill="1" applyBorder="1" applyAlignment="1">
      <alignment horizontal="left" vertical="center"/>
    </xf>
    <xf numFmtId="0" fontId="27" fillId="5" borderId="86" xfId="6" applyFont="1" applyFill="1" applyBorder="1" applyAlignment="1">
      <alignment horizontal="center" vertical="center" wrapText="1"/>
    </xf>
    <xf numFmtId="167" fontId="0" fillId="0" borderId="0" xfId="0" applyNumberFormat="1"/>
    <xf numFmtId="171" fontId="0" fillId="0" borderId="0" xfId="0" applyNumberFormat="1"/>
    <xf numFmtId="0" fontId="51" fillId="2" borderId="8" xfId="0" applyFont="1" applyFill="1" applyBorder="1" applyAlignment="1">
      <alignment horizontal="center" vertical="center" wrapText="1"/>
    </xf>
    <xf numFmtId="0" fontId="37" fillId="0" borderId="0" xfId="0" applyFont="1" applyAlignment="1">
      <alignment vertical="top"/>
    </xf>
    <xf numFmtId="0" fontId="0" fillId="23" borderId="37" xfId="0" applyFill="1" applyBorder="1" applyAlignment="1">
      <alignment wrapText="1"/>
    </xf>
    <xf numFmtId="164" fontId="0" fillId="0" borderId="67" xfId="1" applyNumberFormat="1" applyFont="1" applyBorder="1" applyAlignment="1">
      <alignment wrapText="1"/>
    </xf>
    <xf numFmtId="164" fontId="0" fillId="0" borderId="20" xfId="1" applyNumberFormat="1" applyFont="1" applyBorder="1" applyAlignment="1">
      <alignment wrapText="1"/>
    </xf>
    <xf numFmtId="167" fontId="0" fillId="0" borderId="20" xfId="0" applyNumberFormat="1" applyBorder="1" applyAlignment="1">
      <alignment wrapText="1"/>
    </xf>
    <xf numFmtId="164" fontId="0" fillId="0" borderId="32" xfId="1" applyNumberFormat="1" applyFont="1" applyBorder="1" applyAlignment="1">
      <alignment wrapText="1"/>
    </xf>
    <xf numFmtId="164" fontId="0" fillId="0" borderId="28" xfId="1" applyNumberFormat="1" applyFont="1" applyBorder="1" applyAlignment="1">
      <alignment wrapText="1"/>
    </xf>
    <xf numFmtId="164" fontId="0" fillId="0" borderId="91" xfId="1" applyNumberFormat="1" applyFont="1" applyBorder="1" applyAlignment="1">
      <alignment wrapText="1"/>
    </xf>
    <xf numFmtId="164" fontId="0" fillId="0" borderId="56" xfId="1" applyNumberFormat="1" applyFont="1" applyBorder="1" applyAlignment="1">
      <alignment wrapText="1"/>
    </xf>
    <xf numFmtId="164" fontId="0" fillId="23" borderId="30" xfId="1" applyNumberFormat="1" applyFont="1" applyFill="1" applyBorder="1" applyAlignment="1">
      <alignment wrapText="1"/>
    </xf>
    <xf numFmtId="0" fontId="0" fillId="23" borderId="56" xfId="0" applyFill="1" applyBorder="1" applyAlignment="1">
      <alignment wrapText="1"/>
    </xf>
    <xf numFmtId="164" fontId="0" fillId="0" borderId="68" xfId="1" applyNumberFormat="1" applyFont="1" applyBorder="1" applyAlignment="1">
      <alignment wrapText="1"/>
    </xf>
    <xf numFmtId="167" fontId="0" fillId="0" borderId="27" xfId="1" applyNumberFormat="1" applyFont="1" applyFill="1" applyBorder="1" applyAlignment="1">
      <alignment wrapText="1"/>
    </xf>
    <xf numFmtId="167" fontId="0" fillId="0" borderId="19" xfId="1" applyNumberFormat="1" applyFont="1" applyFill="1" applyBorder="1" applyAlignment="1">
      <alignment wrapText="1"/>
    </xf>
    <xf numFmtId="167" fontId="0" fillId="0" borderId="91" xfId="1" applyNumberFormat="1" applyFont="1" applyFill="1" applyBorder="1" applyAlignment="1">
      <alignment wrapText="1"/>
    </xf>
    <xf numFmtId="164" fontId="0" fillId="23" borderId="70" xfId="1" applyNumberFormat="1" applyFont="1" applyFill="1" applyBorder="1" applyAlignment="1">
      <alignment wrapText="1"/>
    </xf>
    <xf numFmtId="164" fontId="0" fillId="0" borderId="77" xfId="1" applyNumberFormat="1" applyFont="1" applyBorder="1" applyAlignment="1">
      <alignment wrapText="1"/>
    </xf>
    <xf numFmtId="164" fontId="0" fillId="0" borderId="20" xfId="1" applyNumberFormat="1" applyFont="1" applyFill="1" applyBorder="1" applyAlignment="1">
      <alignment wrapText="1"/>
    </xf>
    <xf numFmtId="0" fontId="7" fillId="2" borderId="33" xfId="0" applyFont="1" applyFill="1" applyBorder="1" applyAlignment="1">
      <alignment horizontal="center" vertical="center" wrapText="1"/>
    </xf>
    <xf numFmtId="0" fontId="7" fillId="2" borderId="58" xfId="0" applyFont="1" applyFill="1" applyBorder="1" applyAlignment="1">
      <alignment horizontal="center" vertical="center" wrapText="1"/>
    </xf>
    <xf numFmtId="164" fontId="7" fillId="2" borderId="60" xfId="1" applyNumberFormat="1" applyFont="1" applyFill="1" applyBorder="1" applyAlignment="1">
      <alignment horizontal="center" vertical="center" wrapText="1"/>
    </xf>
    <xf numFmtId="0" fontId="7" fillId="2" borderId="49" xfId="1" applyNumberFormat="1" applyFont="1" applyFill="1" applyBorder="1" applyAlignment="1">
      <alignment horizontal="center" vertical="center"/>
    </xf>
    <xf numFmtId="0" fontId="0" fillId="0" borderId="98" xfId="0" applyBorder="1" applyAlignment="1">
      <alignment wrapText="1"/>
    </xf>
    <xf numFmtId="9" fontId="0" fillId="0" borderId="31" xfId="3" applyFont="1" applyBorder="1" applyAlignment="1">
      <alignment wrapText="1"/>
    </xf>
    <xf numFmtId="9" fontId="0" fillId="23" borderId="68" xfId="3" applyFont="1" applyFill="1" applyBorder="1" applyAlignment="1">
      <alignment wrapText="1"/>
    </xf>
    <xf numFmtId="0" fontId="0" fillId="23" borderId="0" xfId="0" applyFill="1" applyAlignment="1">
      <alignment wrapText="1"/>
    </xf>
    <xf numFmtId="9" fontId="0" fillId="23" borderId="76" xfId="3" applyFont="1" applyFill="1" applyBorder="1" applyAlignment="1">
      <alignment wrapText="1"/>
    </xf>
    <xf numFmtId="0" fontId="0" fillId="0" borderId="99" xfId="0" applyBorder="1" applyAlignment="1">
      <alignment wrapText="1"/>
    </xf>
    <xf numFmtId="0" fontId="0" fillId="23" borderId="43" xfId="0" applyFill="1" applyBorder="1" applyAlignment="1">
      <alignment wrapText="1"/>
    </xf>
    <xf numFmtId="9" fontId="0" fillId="23" borderId="59" xfId="3" applyFont="1" applyFill="1" applyBorder="1" applyAlignment="1">
      <alignment wrapText="1"/>
    </xf>
    <xf numFmtId="166" fontId="3" fillId="8" borderId="39" xfId="3" applyNumberFormat="1" applyFont="1" applyFill="1" applyBorder="1" applyAlignment="1">
      <alignment horizontal="center"/>
    </xf>
    <xf numFmtId="0" fontId="14" fillId="0" borderId="0" xfId="0" applyFont="1"/>
    <xf numFmtId="0" fontId="45" fillId="26" borderId="18" xfId="0" applyFont="1" applyFill="1" applyBorder="1" applyAlignment="1">
      <alignment horizontal="center" vertical="center"/>
    </xf>
    <xf numFmtId="0" fontId="45" fillId="26" borderId="18" xfId="0" applyFont="1" applyFill="1" applyBorder="1" applyAlignment="1">
      <alignment horizontal="center" vertical="center" wrapText="1"/>
    </xf>
    <xf numFmtId="167" fontId="0" fillId="0" borderId="18" xfId="1" applyNumberFormat="1" applyFont="1" applyBorder="1"/>
    <xf numFmtId="0" fontId="50" fillId="0" borderId="0" xfId="0" applyFont="1" applyAlignment="1">
      <alignment vertical="top"/>
    </xf>
    <xf numFmtId="165" fontId="3" fillId="0" borderId="0" xfId="2" applyNumberFormat="1" applyFont="1"/>
    <xf numFmtId="0" fontId="6" fillId="7" borderId="100" xfId="0" applyFont="1" applyFill="1" applyBorder="1" applyAlignment="1">
      <alignment horizontal="center" vertical="center" wrapText="1"/>
    </xf>
    <xf numFmtId="0" fontId="6" fillId="7" borderId="101" xfId="0" applyFont="1" applyFill="1" applyBorder="1" applyAlignment="1">
      <alignment horizontal="center" vertical="center" wrapText="1"/>
    </xf>
    <xf numFmtId="0" fontId="6" fillId="7" borderId="105" xfId="0" applyFont="1" applyFill="1" applyBorder="1" applyAlignment="1">
      <alignment horizontal="center" vertical="center" wrapText="1"/>
    </xf>
    <xf numFmtId="0" fontId="7" fillId="2" borderId="106" xfId="0" applyFont="1" applyFill="1" applyBorder="1" applyAlignment="1">
      <alignment horizontal="center" vertical="center" wrapText="1"/>
    </xf>
    <xf numFmtId="0" fontId="6" fillId="7" borderId="107" xfId="0" applyFont="1" applyFill="1" applyBorder="1" applyAlignment="1">
      <alignment horizontal="center" vertical="center" wrapText="1"/>
    </xf>
    <xf numFmtId="0" fontId="3" fillId="3" borderId="109" xfId="0" applyFont="1" applyFill="1" applyBorder="1"/>
    <xf numFmtId="0" fontId="3" fillId="3" borderId="110" xfId="0" applyFont="1" applyFill="1" applyBorder="1" applyAlignment="1">
      <alignment horizontal="center" vertical="center" wrapText="1"/>
    </xf>
    <xf numFmtId="0" fontId="0" fillId="0" borderId="109" xfId="0" applyBorder="1" applyAlignment="1">
      <alignment horizontal="left" vertical="center" wrapText="1"/>
    </xf>
    <xf numFmtId="0" fontId="3" fillId="3" borderId="117" xfId="0" applyFont="1" applyFill="1" applyBorder="1"/>
    <xf numFmtId="164" fontId="3" fillId="3" borderId="108" xfId="1" applyNumberFormat="1" applyFont="1" applyFill="1" applyBorder="1" applyAlignment="1">
      <alignment horizontal="center" vertical="center"/>
    </xf>
    <xf numFmtId="0" fontId="0" fillId="2" borderId="118" xfId="0" applyFill="1" applyBorder="1" applyAlignment="1">
      <alignment vertical="center" wrapText="1"/>
    </xf>
    <xf numFmtId="0" fontId="0" fillId="2" borderId="119" xfId="0" applyFill="1" applyBorder="1" applyAlignment="1">
      <alignment vertical="center" wrapText="1"/>
    </xf>
    <xf numFmtId="164" fontId="0" fillId="2" borderId="119" xfId="1" applyNumberFormat="1" applyFont="1" applyFill="1" applyBorder="1" applyAlignment="1">
      <alignment horizontal="center" vertical="center" wrapText="1"/>
    </xf>
    <xf numFmtId="0" fontId="0" fillId="0" borderId="121" xfId="0" applyBorder="1"/>
    <xf numFmtId="164" fontId="0" fillId="0" borderId="114" xfId="1" applyNumberFormat="1" applyFont="1" applyFill="1" applyBorder="1" applyAlignment="1">
      <alignment horizontal="center" vertical="center"/>
    </xf>
    <xf numFmtId="0" fontId="3" fillId="3" borderId="122" xfId="0" applyFont="1" applyFill="1" applyBorder="1"/>
    <xf numFmtId="164" fontId="3" fillId="3" borderId="116" xfId="1" applyNumberFormat="1" applyFont="1" applyFill="1" applyBorder="1" applyAlignment="1">
      <alignment horizontal="center" vertical="center"/>
    </xf>
    <xf numFmtId="0" fontId="3" fillId="3" borderId="123" xfId="0" applyFont="1" applyFill="1" applyBorder="1"/>
    <xf numFmtId="164" fontId="3" fillId="3" borderId="124" xfId="1" applyNumberFormat="1" applyFont="1" applyFill="1" applyBorder="1" applyAlignment="1"/>
    <xf numFmtId="164" fontId="3" fillId="6" borderId="125" xfId="1" applyNumberFormat="1" applyFont="1" applyFill="1" applyBorder="1" applyAlignment="1"/>
    <xf numFmtId="164" fontId="3" fillId="6" borderId="126" xfId="1" applyNumberFormat="1" applyFont="1" applyFill="1" applyBorder="1" applyAlignment="1"/>
    <xf numFmtId="165" fontId="3" fillId="3" borderId="125" xfId="2" applyNumberFormat="1" applyFont="1" applyFill="1" applyBorder="1" applyAlignment="1">
      <alignment horizontal="center"/>
    </xf>
    <xf numFmtId="165" fontId="3" fillId="3" borderId="127" xfId="2" applyNumberFormat="1" applyFont="1" applyFill="1" applyBorder="1" applyAlignment="1">
      <alignment horizontal="center"/>
    </xf>
    <xf numFmtId="164" fontId="3" fillId="6" borderId="128" xfId="1" applyNumberFormat="1" applyFont="1" applyFill="1" applyBorder="1" applyAlignment="1"/>
    <xf numFmtId="0" fontId="7" fillId="2" borderId="7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3" fillId="9" borderId="45" xfId="0" applyFont="1" applyFill="1" applyBorder="1" applyAlignment="1">
      <alignment vertical="center"/>
    </xf>
    <xf numFmtId="9" fontId="0" fillId="0" borderId="18" xfId="3" applyFont="1" applyBorder="1" applyAlignment="1">
      <alignment horizontal="right" vertical="center"/>
    </xf>
    <xf numFmtId="9" fontId="0" fillId="9" borderId="18" xfId="3" applyFont="1" applyFill="1" applyBorder="1" applyAlignment="1">
      <alignment horizontal="right" vertical="center"/>
    </xf>
    <xf numFmtId="166" fontId="0" fillId="0" borderId="18" xfId="3" applyNumberFormat="1" applyFont="1" applyBorder="1" applyAlignment="1">
      <alignment horizontal="right"/>
    </xf>
    <xf numFmtId="166" fontId="0" fillId="0" borderId="18" xfId="3" applyNumberFormat="1" applyFont="1" applyFill="1" applyBorder="1" applyAlignment="1">
      <alignment horizontal="right"/>
    </xf>
    <xf numFmtId="166" fontId="0" fillId="22" borderId="18" xfId="3" applyNumberFormat="1" applyFont="1" applyFill="1" applyBorder="1" applyAlignment="1">
      <alignment horizontal="center"/>
    </xf>
    <xf numFmtId="166" fontId="0" fillId="5" borderId="18" xfId="3" applyNumberFormat="1" applyFont="1" applyFill="1" applyBorder="1"/>
    <xf numFmtId="166" fontId="1" fillId="9" borderId="18" xfId="3" applyNumberFormat="1" applyFont="1" applyFill="1" applyBorder="1"/>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7" fillId="2" borderId="13" xfId="1" applyNumberFormat="1" applyFont="1" applyFill="1" applyBorder="1" applyAlignment="1">
      <alignment horizontal="center" vertical="center" wrapText="1"/>
    </xf>
    <xf numFmtId="164" fontId="7" fillId="2" borderId="11" xfId="1" applyNumberFormat="1" applyFont="1" applyFill="1" applyBorder="1" applyAlignment="1">
      <alignment horizontal="center" vertical="center" wrapText="1"/>
    </xf>
    <xf numFmtId="166" fontId="14" fillId="0" borderId="61" xfId="3" applyNumberFormat="1" applyFont="1" applyFill="1" applyBorder="1" applyAlignment="1">
      <alignment horizontal="center"/>
    </xf>
    <xf numFmtId="166" fontId="14" fillId="0" borderId="43" xfId="3" applyNumberFormat="1" applyFont="1" applyFill="1" applyBorder="1" applyAlignment="1">
      <alignment horizontal="center"/>
    </xf>
    <xf numFmtId="164" fontId="3" fillId="3" borderId="63" xfId="1" applyNumberFormat="1" applyFont="1" applyFill="1" applyBorder="1" applyAlignment="1">
      <alignment horizontal="center"/>
    </xf>
    <xf numFmtId="0" fontId="3" fillId="3" borderId="21" xfId="1" applyNumberFormat="1" applyFont="1" applyFill="1" applyBorder="1" applyAlignment="1">
      <alignment horizontal="center"/>
    </xf>
    <xf numFmtId="0" fontId="3" fillId="3" borderId="22" xfId="1" applyNumberFormat="1" applyFont="1" applyFill="1" applyBorder="1" applyAlignment="1">
      <alignment horizontal="center"/>
    </xf>
    <xf numFmtId="0" fontId="3" fillId="3" borderId="64" xfId="1" applyNumberFormat="1" applyFont="1" applyFill="1" applyBorder="1" applyAlignment="1">
      <alignment horizontal="center"/>
    </xf>
    <xf numFmtId="167" fontId="3" fillId="3" borderId="21" xfId="1" applyNumberFormat="1" applyFont="1" applyFill="1" applyBorder="1" applyAlignment="1">
      <alignment horizontal="center"/>
    </xf>
    <xf numFmtId="10" fontId="14" fillId="0" borderId="32" xfId="0" applyNumberFormat="1" applyFont="1" applyBorder="1"/>
    <xf numFmtId="164" fontId="0" fillId="0" borderId="18" xfId="0" applyNumberFormat="1" applyBorder="1" applyAlignment="1">
      <alignment horizontal="right"/>
    </xf>
    <xf numFmtId="167" fontId="3" fillId="3" borderId="40" xfId="1" applyNumberFormat="1" applyFont="1" applyFill="1" applyBorder="1" applyAlignment="1">
      <alignment horizontal="center"/>
    </xf>
    <xf numFmtId="167" fontId="3" fillId="3" borderId="68" xfId="1" applyNumberFormat="1" applyFont="1" applyFill="1" applyBorder="1" applyAlignment="1">
      <alignment horizontal="center"/>
    </xf>
    <xf numFmtId="167" fontId="8" fillId="8" borderId="77" xfId="1" applyNumberFormat="1" applyFont="1" applyFill="1" applyBorder="1" applyAlignment="1">
      <alignment horizontal="center"/>
    </xf>
    <xf numFmtId="167" fontId="3" fillId="3" borderId="3" xfId="1" applyNumberFormat="1" applyFont="1" applyFill="1" applyBorder="1" applyAlignment="1">
      <alignment horizontal="center"/>
    </xf>
    <xf numFmtId="167" fontId="0" fillId="0" borderId="9" xfId="1" applyNumberFormat="1" applyFont="1" applyFill="1" applyBorder="1" applyAlignment="1">
      <alignment horizontal="center"/>
    </xf>
    <xf numFmtId="167" fontId="3" fillId="6" borderId="59" xfId="1" applyNumberFormat="1" applyFont="1" applyFill="1" applyBorder="1" applyAlignment="1">
      <alignment horizontal="center"/>
    </xf>
    <xf numFmtId="164" fontId="14" fillId="0" borderId="6" xfId="1" applyNumberFormat="1" applyFont="1" applyFill="1" applyBorder="1" applyAlignment="1">
      <alignment horizontal="center"/>
    </xf>
    <xf numFmtId="164" fontId="14" fillId="0" borderId="23" xfId="1" applyNumberFormat="1" applyFont="1" applyFill="1" applyBorder="1" applyAlignment="1">
      <alignment horizontal="center"/>
    </xf>
    <xf numFmtId="164" fontId="14" fillId="0" borderId="36" xfId="1" applyNumberFormat="1" applyFont="1" applyFill="1" applyBorder="1" applyAlignment="1">
      <alignment horizontal="center"/>
    </xf>
    <xf numFmtId="167" fontId="14" fillId="0" borderId="3" xfId="1" applyNumberFormat="1" applyFont="1" applyFill="1" applyBorder="1" applyAlignment="1">
      <alignment horizontal="center"/>
    </xf>
    <xf numFmtId="164" fontId="17" fillId="0" borderId="24" xfId="1" applyNumberFormat="1" applyFont="1" applyFill="1" applyBorder="1" applyAlignment="1">
      <alignment horizontal="center"/>
    </xf>
    <xf numFmtId="167" fontId="17" fillId="0" borderId="69" xfId="1" applyNumberFormat="1" applyFont="1" applyFill="1" applyBorder="1" applyAlignment="1">
      <alignment horizontal="center"/>
    </xf>
    <xf numFmtId="167" fontId="14" fillId="0" borderId="28" xfId="1" applyNumberFormat="1" applyFont="1" applyFill="1" applyBorder="1" applyAlignment="1">
      <alignment horizontal="center"/>
    </xf>
    <xf numFmtId="167" fontId="14" fillId="0" borderId="77" xfId="1" applyNumberFormat="1" applyFont="1" applyFill="1" applyBorder="1" applyAlignment="1">
      <alignment horizontal="center"/>
    </xf>
    <xf numFmtId="167" fontId="0" fillId="0" borderId="28" xfId="1" applyNumberFormat="1" applyFont="1" applyFill="1" applyBorder="1" applyAlignment="1">
      <alignment horizontal="center"/>
    </xf>
    <xf numFmtId="0" fontId="1" fillId="0" borderId="64" xfId="0" applyFont="1" applyBorder="1" applyAlignment="1">
      <alignment horizontal="center" vertical="center"/>
    </xf>
    <xf numFmtId="164" fontId="3" fillId="3" borderId="38" xfId="1" applyNumberFormat="1" applyFont="1" applyFill="1" applyBorder="1" applyAlignment="1">
      <alignment horizontal="center"/>
    </xf>
    <xf numFmtId="0" fontId="1" fillId="2" borderId="33" xfId="0" applyFont="1" applyFill="1" applyBorder="1" applyAlignment="1">
      <alignment vertical="center" wrapText="1"/>
    </xf>
    <xf numFmtId="0" fontId="1" fillId="2" borderId="60" xfId="0" applyFont="1" applyFill="1" applyBorder="1" applyAlignment="1">
      <alignment vertical="center" wrapText="1"/>
    </xf>
    <xf numFmtId="165" fontId="1" fillId="2" borderId="33" xfId="2" applyNumberFormat="1" applyFont="1" applyFill="1" applyBorder="1" applyAlignment="1">
      <alignment vertical="center" wrapText="1"/>
    </xf>
    <xf numFmtId="165" fontId="1" fillId="2" borderId="60" xfId="2" applyNumberFormat="1" applyFont="1" applyFill="1" applyBorder="1" applyAlignment="1">
      <alignment vertical="center" wrapText="1"/>
    </xf>
    <xf numFmtId="164" fontId="1" fillId="2" borderId="33" xfId="1" applyNumberFormat="1" applyFont="1" applyFill="1" applyBorder="1" applyAlignment="1">
      <alignment vertical="center" wrapText="1"/>
    </xf>
    <xf numFmtId="164" fontId="1" fillId="2" borderId="65" xfId="1" applyNumberFormat="1" applyFont="1" applyFill="1" applyBorder="1" applyAlignment="1">
      <alignment vertical="center" wrapText="1"/>
    </xf>
    <xf numFmtId="164" fontId="1" fillId="2" borderId="60" xfId="1" applyNumberFormat="1" applyFont="1" applyFill="1" applyBorder="1" applyAlignment="1">
      <alignment vertical="center" wrapText="1"/>
    </xf>
    <xf numFmtId="164" fontId="1" fillId="0" borderId="6" xfId="1" applyNumberFormat="1" applyFont="1" applyBorder="1" applyAlignment="1">
      <alignment horizontal="center" vertical="center"/>
    </xf>
    <xf numFmtId="164" fontId="1" fillId="0" borderId="34" xfId="1" applyNumberFormat="1" applyFont="1" applyBorder="1" applyAlignment="1">
      <alignment horizontal="center" vertical="center"/>
    </xf>
    <xf numFmtId="165" fontId="1" fillId="0" borderId="6" xfId="2" applyNumberFormat="1" applyFont="1" applyBorder="1" applyAlignment="1">
      <alignment horizontal="center" vertical="center"/>
    </xf>
    <xf numFmtId="165" fontId="1" fillId="0" borderId="7" xfId="2" applyNumberFormat="1" applyFont="1" applyBorder="1" applyAlignment="1">
      <alignment horizontal="center" vertical="center"/>
    </xf>
    <xf numFmtId="164" fontId="1" fillId="0" borderId="7" xfId="1" applyNumberFormat="1" applyFont="1" applyBorder="1" applyAlignment="1">
      <alignment horizontal="center" vertical="center"/>
    </xf>
    <xf numFmtId="164" fontId="1" fillId="0" borderId="20" xfId="1" applyNumberFormat="1" applyFont="1" applyFill="1" applyBorder="1" applyAlignment="1">
      <alignment horizontal="center" vertical="center"/>
    </xf>
    <xf numFmtId="164" fontId="1" fillId="0" borderId="19" xfId="1" applyNumberFormat="1" applyFont="1" applyFill="1" applyBorder="1" applyAlignment="1">
      <alignment horizontal="center" vertical="center"/>
    </xf>
    <xf numFmtId="164" fontId="1" fillId="0" borderId="29" xfId="1" applyNumberFormat="1" applyFont="1" applyBorder="1" applyAlignment="1">
      <alignment horizontal="center" vertical="center"/>
    </xf>
    <xf numFmtId="164" fontId="1" fillId="0" borderId="92" xfId="1" applyNumberFormat="1" applyFont="1" applyBorder="1" applyAlignment="1">
      <alignment horizontal="center" vertical="center"/>
    </xf>
    <xf numFmtId="165" fontId="1" fillId="0" borderId="29" xfId="2" applyNumberFormat="1" applyFont="1" applyBorder="1" applyAlignment="1">
      <alignment horizontal="center" vertical="center"/>
    </xf>
    <xf numFmtId="165" fontId="1" fillId="0" borderId="31" xfId="2" applyNumberFormat="1" applyFont="1" applyBorder="1" applyAlignment="1">
      <alignment horizontal="center" vertical="center"/>
    </xf>
    <xf numFmtId="164" fontId="1" fillId="0" borderId="31" xfId="1" applyNumberFormat="1" applyFont="1" applyBorder="1" applyAlignment="1">
      <alignment horizontal="center" vertical="center"/>
    </xf>
    <xf numFmtId="164" fontId="1" fillId="0" borderId="29" xfId="1" applyNumberFormat="1" applyFont="1" applyFill="1" applyBorder="1" applyAlignment="1">
      <alignment horizontal="center" vertical="center"/>
    </xf>
    <xf numFmtId="164" fontId="1" fillId="0" borderId="31" xfId="1" applyNumberFormat="1" applyFont="1" applyFill="1" applyBorder="1" applyAlignment="1">
      <alignment horizontal="center" vertical="center"/>
    </xf>
    <xf numFmtId="164" fontId="3" fillId="3" borderId="21" xfId="1" applyNumberFormat="1" applyFont="1" applyFill="1" applyBorder="1"/>
    <xf numFmtId="0" fontId="1" fillId="0" borderId="21" xfId="0" applyFont="1" applyBorder="1" applyAlignment="1">
      <alignment horizontal="center"/>
    </xf>
    <xf numFmtId="0" fontId="1" fillId="0" borderId="64" xfId="0" applyFont="1" applyBorder="1" applyAlignment="1">
      <alignment horizontal="center"/>
    </xf>
    <xf numFmtId="165" fontId="1" fillId="0" borderId="21" xfId="2" applyNumberFormat="1" applyFont="1" applyBorder="1" applyAlignment="1">
      <alignment horizontal="center"/>
    </xf>
    <xf numFmtId="165" fontId="1" fillId="0" borderId="64" xfId="2" applyNumberFormat="1" applyFont="1" applyBorder="1" applyAlignment="1">
      <alignment horizontal="center"/>
    </xf>
    <xf numFmtId="164" fontId="1" fillId="0" borderId="64" xfId="1" applyNumberFormat="1" applyFont="1" applyFill="1" applyBorder="1" applyAlignment="1">
      <alignment horizontal="center"/>
    </xf>
    <xf numFmtId="164" fontId="1" fillId="0" borderId="21" xfId="1" applyNumberFormat="1" applyFont="1" applyBorder="1" applyAlignment="1">
      <alignment horizontal="center"/>
    </xf>
    <xf numFmtId="164" fontId="1" fillId="0" borderId="38" xfId="1" applyNumberFormat="1" applyFont="1" applyFill="1" applyBorder="1" applyAlignment="1">
      <alignment horizontal="center"/>
    </xf>
    <xf numFmtId="164" fontId="3" fillId="6" borderId="36" xfId="1" applyNumberFormat="1" applyFont="1" applyFill="1" applyBorder="1" applyAlignment="1"/>
    <xf numFmtId="164" fontId="3" fillId="6" borderId="44" xfId="1" applyNumberFormat="1" applyFont="1" applyFill="1" applyBorder="1" applyAlignment="1"/>
    <xf numFmtId="164" fontId="3" fillId="6" borderId="40" xfId="1" applyNumberFormat="1" applyFont="1" applyFill="1" applyBorder="1" applyAlignment="1"/>
    <xf numFmtId="165" fontId="0" fillId="0" borderId="21" xfId="2" applyNumberFormat="1" applyFont="1" applyFill="1" applyBorder="1" applyAlignment="1">
      <alignment horizontal="center" vertical="center" wrapText="1"/>
    </xf>
    <xf numFmtId="9" fontId="0" fillId="19" borderId="38" xfId="3" applyFont="1" applyFill="1"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129" xfId="0" applyBorder="1" applyAlignment="1">
      <alignment wrapText="1"/>
    </xf>
    <xf numFmtId="0" fontId="0" fillId="19" borderId="22" xfId="0" applyFill="1" applyBorder="1" applyAlignment="1">
      <alignment wrapText="1"/>
    </xf>
    <xf numFmtId="0" fontId="0" fillId="12" borderId="0" xfId="0" applyFill="1"/>
    <xf numFmtId="0" fontId="0" fillId="12" borderId="55" xfId="0" applyFill="1" applyBorder="1"/>
    <xf numFmtId="0" fontId="0" fillId="12" borderId="76" xfId="0" applyFill="1" applyBorder="1"/>
    <xf numFmtId="165" fontId="7" fillId="12" borderId="55" xfId="2" applyNumberFormat="1" applyFont="1" applyFill="1" applyBorder="1"/>
    <xf numFmtId="165" fontId="7" fillId="12" borderId="0" xfId="2" applyNumberFormat="1" applyFont="1" applyFill="1"/>
    <xf numFmtId="165" fontId="0" fillId="12" borderId="0" xfId="2" applyNumberFormat="1" applyFont="1" applyFill="1"/>
    <xf numFmtId="165" fontId="0" fillId="12" borderId="76" xfId="2" applyNumberFormat="1" applyFont="1" applyFill="1" applyBorder="1"/>
    <xf numFmtId="165" fontId="0" fillId="12" borderId="55" xfId="2" applyNumberFormat="1" applyFont="1" applyFill="1" applyBorder="1"/>
    <xf numFmtId="164" fontId="0" fillId="0" borderId="0" xfId="1" applyNumberFormat="1" applyFont="1" applyFill="1"/>
    <xf numFmtId="3" fontId="17" fillId="0" borderId="21" xfId="0" applyNumberFormat="1" applyFont="1" applyBorder="1"/>
    <xf numFmtId="3" fontId="17" fillId="0" borderId="23" xfId="0" applyNumberFormat="1" applyFont="1" applyBorder="1"/>
    <xf numFmtId="3" fontId="17" fillId="0" borderId="7" xfId="0" applyNumberFormat="1" applyFont="1" applyBorder="1"/>
    <xf numFmtId="164" fontId="1" fillId="0" borderId="10" xfId="1" applyNumberFormat="1" applyFont="1" applyFill="1" applyBorder="1" applyAlignment="1">
      <alignment horizontal="center" vertical="center"/>
    </xf>
    <xf numFmtId="164" fontId="1" fillId="0" borderId="11" xfId="1" applyNumberFormat="1" applyFont="1" applyFill="1" applyBorder="1" applyAlignment="1">
      <alignment horizontal="center" vertical="center"/>
    </xf>
    <xf numFmtId="171" fontId="11" fillId="0" borderId="20" xfId="0" applyNumberFormat="1" applyFont="1" applyBorder="1" applyAlignment="1">
      <alignment wrapText="1"/>
    </xf>
    <xf numFmtId="167" fontId="11" fillId="0" borderId="56" xfId="1" applyNumberFormat="1" applyFont="1" applyFill="1" applyBorder="1" applyAlignment="1">
      <alignment wrapText="1"/>
    </xf>
    <xf numFmtId="167" fontId="11" fillId="0" borderId="19" xfId="1" applyNumberFormat="1" applyFont="1" applyFill="1" applyBorder="1" applyAlignment="1">
      <alignment wrapText="1"/>
    </xf>
    <xf numFmtId="167" fontId="11" fillId="0" borderId="20" xfId="1" applyNumberFormat="1" applyFont="1" applyFill="1" applyBorder="1" applyAlignment="1">
      <alignment wrapText="1"/>
    </xf>
    <xf numFmtId="167" fontId="11" fillId="0" borderId="30" xfId="1" applyNumberFormat="1" applyFont="1" applyFill="1" applyBorder="1" applyAlignment="1">
      <alignment wrapText="1"/>
    </xf>
    <xf numFmtId="165" fontId="0" fillId="2" borderId="57" xfId="0" applyNumberFormat="1" applyFill="1" applyBorder="1" applyAlignment="1">
      <alignment vertical="center" wrapText="1"/>
    </xf>
    <xf numFmtId="165" fontId="0" fillId="2" borderId="7" xfId="0" applyNumberFormat="1" applyFill="1" applyBorder="1" applyAlignment="1">
      <alignment vertical="center" wrapText="1"/>
    </xf>
    <xf numFmtId="175" fontId="0" fillId="0" borderId="0" xfId="0" applyNumberFormat="1"/>
    <xf numFmtId="0" fontId="0" fillId="0" borderId="41" xfId="0" applyBorder="1" applyAlignment="1">
      <alignment horizontal="left" vertical="center" wrapText="1"/>
    </xf>
    <xf numFmtId="164" fontId="3" fillId="3" borderId="53" xfId="0" applyNumberFormat="1" applyFont="1" applyFill="1" applyBorder="1" applyAlignment="1">
      <alignment horizontal="center" vertical="center"/>
    </xf>
    <xf numFmtId="164" fontId="3" fillId="3" borderId="44" xfId="0" applyNumberFormat="1" applyFont="1" applyFill="1" applyBorder="1" applyAlignment="1">
      <alignment horizontal="center" vertical="center"/>
    </xf>
    <xf numFmtId="165" fontId="3" fillId="3" borderId="53" xfId="0" applyNumberFormat="1" applyFont="1" applyFill="1" applyBorder="1" applyAlignment="1">
      <alignment horizontal="center" vertical="center"/>
    </xf>
    <xf numFmtId="165" fontId="3" fillId="3" borderId="40" xfId="0" applyNumberFormat="1" applyFont="1" applyFill="1" applyBorder="1" applyAlignment="1">
      <alignment horizontal="center" vertical="center"/>
    </xf>
    <xf numFmtId="164" fontId="3" fillId="3" borderId="36" xfId="0" applyNumberFormat="1" applyFont="1" applyFill="1" applyBorder="1" applyAlignment="1">
      <alignment horizontal="center" vertical="center"/>
    </xf>
    <xf numFmtId="164" fontId="3" fillId="3" borderId="130" xfId="1" applyNumberFormat="1" applyFont="1" applyFill="1" applyBorder="1" applyAlignment="1">
      <alignment horizontal="center" vertical="center"/>
    </xf>
    <xf numFmtId="10" fontId="28" fillId="5" borderId="0" xfId="1" applyNumberFormat="1" applyFont="1" applyFill="1" applyBorder="1" applyAlignment="1">
      <alignment horizontal="right"/>
    </xf>
    <xf numFmtId="9" fontId="3" fillId="0" borderId="0" xfId="1" applyNumberFormat="1" applyFont="1"/>
    <xf numFmtId="9" fontId="0" fillId="0" borderId="0" xfId="3" applyFont="1"/>
    <xf numFmtId="0" fontId="8" fillId="0" borderId="0" xfId="0" applyFont="1"/>
    <xf numFmtId="0" fontId="3" fillId="15" borderId="18" xfId="0" applyFont="1" applyFill="1" applyBorder="1" applyAlignment="1" applyProtection="1">
      <alignment horizontal="center" vertical="center"/>
      <protection hidden="1"/>
    </xf>
    <xf numFmtId="0" fontId="3" fillId="15" borderId="18" xfId="9" applyFont="1" applyFill="1" applyBorder="1" applyAlignment="1">
      <alignment horizontal="center" vertical="center"/>
    </xf>
    <xf numFmtId="0" fontId="8" fillId="15" borderId="18" xfId="8" applyFont="1" applyFill="1" applyBorder="1" applyAlignment="1">
      <alignment horizontal="center" vertical="center" wrapText="1"/>
    </xf>
    <xf numFmtId="0" fontId="8" fillId="0" borderId="18" xfId="0" applyFont="1" applyBorder="1"/>
    <xf numFmtId="3" fontId="0" fillId="0" borderId="18" xfId="0" applyNumberFormat="1" applyBorder="1"/>
    <xf numFmtId="173" fontId="0" fillId="0" borderId="18" xfId="0" applyNumberFormat="1" applyBorder="1"/>
    <xf numFmtId="0" fontId="17" fillId="0" borderId="0" xfId="0" applyFont="1"/>
    <xf numFmtId="10" fontId="0" fillId="0" borderId="0" xfId="1" applyNumberFormat="1" applyFont="1" applyFill="1" applyBorder="1"/>
    <xf numFmtId="165" fontId="0" fillId="0" borderId="3" xfId="0" applyNumberFormat="1" applyBorder="1" applyAlignment="1">
      <alignment wrapText="1"/>
    </xf>
    <xf numFmtId="0" fontId="6" fillId="7" borderId="1" xfId="0" applyFont="1" applyFill="1" applyBorder="1" applyAlignment="1">
      <alignment horizontal="center" vertical="center" wrapText="1"/>
    </xf>
    <xf numFmtId="165" fontId="0" fillId="0" borderId="18" xfId="2" applyNumberFormat="1" applyFont="1" applyFill="1" applyBorder="1"/>
    <xf numFmtId="164" fontId="0" fillId="0" borderId="32" xfId="1" applyNumberFormat="1" applyFont="1" applyFill="1" applyBorder="1" applyAlignment="1">
      <alignment wrapText="1"/>
    </xf>
    <xf numFmtId="164" fontId="0" fillId="0" borderId="27" xfId="1" applyNumberFormat="1" applyFont="1" applyFill="1" applyBorder="1" applyAlignment="1">
      <alignment wrapText="1"/>
    </xf>
    <xf numFmtId="164" fontId="0" fillId="0" borderId="19" xfId="1" applyNumberFormat="1" applyFont="1" applyFill="1" applyBorder="1" applyAlignment="1">
      <alignment wrapText="1"/>
    </xf>
    <xf numFmtId="167" fontId="11" fillId="0" borderId="32" xfId="1" applyNumberFormat="1" applyFont="1" applyFill="1" applyBorder="1" applyAlignment="1">
      <alignment wrapText="1"/>
    </xf>
    <xf numFmtId="167" fontId="0" fillId="0" borderId="32" xfId="1" applyNumberFormat="1" applyFont="1" applyFill="1" applyBorder="1" applyAlignment="1">
      <alignment wrapText="1"/>
    </xf>
    <xf numFmtId="164" fontId="0" fillId="0" borderId="58" xfId="0" applyNumberFormat="1" applyBorder="1" applyAlignment="1">
      <alignment horizontal="center" vertical="center"/>
    </xf>
    <xf numFmtId="164" fontId="0" fillId="0" borderId="65" xfId="0" applyNumberFormat="1" applyBorder="1" applyAlignment="1">
      <alignment horizontal="center" vertical="center"/>
    </xf>
    <xf numFmtId="3" fontId="0" fillId="0" borderId="33" xfId="0" applyNumberFormat="1" applyBorder="1" applyAlignment="1">
      <alignment horizontal="right" vertical="center"/>
    </xf>
    <xf numFmtId="3" fontId="0" fillId="0" borderId="111" xfId="0" applyNumberFormat="1" applyBorder="1" applyAlignment="1">
      <alignment horizontal="right" vertical="center"/>
    </xf>
    <xf numFmtId="164" fontId="0" fillId="0" borderId="26" xfId="0" applyNumberFormat="1" applyBorder="1" applyAlignment="1">
      <alignment horizontal="center" vertical="center"/>
    </xf>
    <xf numFmtId="164" fontId="0" fillId="0" borderId="35" xfId="0" applyNumberFormat="1" applyBorder="1" applyAlignment="1">
      <alignment horizontal="center" vertical="center"/>
    </xf>
    <xf numFmtId="3" fontId="0" fillId="0" borderId="26" xfId="0" applyNumberFormat="1" applyBorder="1" applyAlignment="1">
      <alignment horizontal="right" vertical="center"/>
    </xf>
    <xf numFmtId="164" fontId="0" fillId="0" borderId="113" xfId="0" applyNumberFormat="1" applyBorder="1" applyAlignment="1">
      <alignment horizontal="right" vertical="center"/>
    </xf>
    <xf numFmtId="3" fontId="0" fillId="0" borderId="20" xfId="0" applyNumberFormat="1" applyBorder="1" applyAlignment="1">
      <alignment horizontal="right" vertical="center"/>
    </xf>
    <xf numFmtId="3" fontId="0" fillId="0" borderId="114" xfId="0" applyNumberFormat="1" applyBorder="1" applyAlignment="1">
      <alignment horizontal="right" vertical="center"/>
    </xf>
    <xf numFmtId="165" fontId="0" fillId="0" borderId="58" xfId="2" applyNumberFormat="1" applyFont="1" applyFill="1" applyBorder="1" applyAlignment="1">
      <alignment horizontal="center" vertical="center"/>
    </xf>
    <xf numFmtId="165" fontId="0" fillId="0" borderId="60" xfId="2" applyNumberFormat="1" applyFont="1" applyFill="1" applyBorder="1" applyAlignment="1">
      <alignment horizontal="center" vertical="center"/>
    </xf>
    <xf numFmtId="164" fontId="0" fillId="0" borderId="33" xfId="0" applyNumberFormat="1" applyBorder="1" applyAlignment="1">
      <alignment horizontal="center" vertical="center"/>
    </xf>
    <xf numFmtId="164" fontId="0" fillId="0" borderId="111" xfId="0" applyNumberFormat="1" applyBorder="1" applyAlignment="1">
      <alignment horizontal="center" vertical="center"/>
    </xf>
    <xf numFmtId="165" fontId="0" fillId="0" borderId="26" xfId="2" applyNumberFormat="1" applyFont="1" applyFill="1" applyBorder="1" applyAlignment="1">
      <alignment horizontal="center" vertical="center"/>
    </xf>
    <xf numFmtId="165" fontId="0" fillId="0" borderId="19" xfId="2" applyNumberFormat="1" applyFont="1" applyFill="1" applyBorder="1" applyAlignment="1">
      <alignment horizontal="center" vertical="center"/>
    </xf>
    <xf numFmtId="164" fontId="0" fillId="0" borderId="20" xfId="0" applyNumberFormat="1" applyBorder="1" applyAlignment="1">
      <alignment horizontal="center" vertical="center"/>
    </xf>
    <xf numFmtId="164" fontId="0" fillId="0" borderId="115" xfId="0" applyNumberFormat="1" applyBorder="1" applyAlignment="1">
      <alignment horizontal="center" vertical="center"/>
    </xf>
    <xf numFmtId="164" fontId="0" fillId="0" borderId="62" xfId="0" applyNumberFormat="1" applyBorder="1" applyAlignment="1">
      <alignment horizontal="center" vertical="center"/>
    </xf>
    <xf numFmtId="164" fontId="0" fillId="0" borderId="92" xfId="0" applyNumberFormat="1" applyBorder="1" applyAlignment="1">
      <alignment horizontal="center" vertical="center"/>
    </xf>
    <xf numFmtId="165" fontId="0" fillId="0" borderId="62" xfId="2" applyNumberFormat="1" applyFont="1" applyFill="1" applyBorder="1" applyAlignment="1">
      <alignment horizontal="center" vertical="center"/>
    </xf>
    <xf numFmtId="165" fontId="0" fillId="0" borderId="92" xfId="2" applyNumberFormat="1" applyFont="1" applyFill="1" applyBorder="1" applyAlignment="1">
      <alignment horizontal="center" vertical="center"/>
    </xf>
    <xf numFmtId="164" fontId="0" fillId="0" borderId="29" xfId="0" applyNumberFormat="1" applyBorder="1" applyAlignment="1">
      <alignment horizontal="center" vertical="center"/>
    </xf>
    <xf numFmtId="164" fontId="0" fillId="0" borderId="120" xfId="0" applyNumberFormat="1" applyBorder="1" applyAlignment="1">
      <alignment horizontal="center" vertical="center"/>
    </xf>
    <xf numFmtId="164" fontId="0" fillId="0" borderId="21" xfId="0" applyNumberFormat="1" applyBorder="1" applyAlignment="1">
      <alignment horizontal="center" vertical="center"/>
    </xf>
    <xf numFmtId="164" fontId="0" fillId="0" borderId="64" xfId="0" applyNumberFormat="1" applyBorder="1" applyAlignment="1">
      <alignment horizontal="center" vertical="center"/>
    </xf>
    <xf numFmtId="165" fontId="0" fillId="0" borderId="21" xfId="2" applyNumberFormat="1" applyFont="1" applyFill="1" applyBorder="1" applyAlignment="1">
      <alignment horizontal="center" vertical="center"/>
    </xf>
    <xf numFmtId="165" fontId="0" fillId="0" borderId="64" xfId="2" applyNumberFormat="1" applyFont="1" applyFill="1" applyBorder="1" applyAlignment="1">
      <alignment horizontal="center" vertical="center"/>
    </xf>
    <xf numFmtId="164" fontId="0" fillId="0" borderId="60" xfId="0" applyNumberFormat="1" applyBorder="1" applyAlignment="1">
      <alignment horizontal="center" vertical="center"/>
    </xf>
    <xf numFmtId="165" fontId="0" fillId="0" borderId="33" xfId="0" applyNumberFormat="1" applyBorder="1" applyAlignment="1">
      <alignment horizontal="center" vertical="center"/>
    </xf>
    <xf numFmtId="165" fontId="0" fillId="0" borderId="60" xfId="0" applyNumberFormat="1" applyBorder="1" applyAlignment="1">
      <alignment horizontal="center" vertical="center"/>
    </xf>
    <xf numFmtId="164" fontId="0" fillId="0" borderId="31" xfId="0" applyNumberFormat="1" applyBorder="1" applyAlignment="1">
      <alignment horizontal="center" vertical="center"/>
    </xf>
    <xf numFmtId="165" fontId="0" fillId="0" borderId="29" xfId="0" applyNumberFormat="1" applyBorder="1" applyAlignment="1">
      <alignment horizontal="center" vertical="center"/>
    </xf>
    <xf numFmtId="165" fontId="0" fillId="0" borderId="31" xfId="0" applyNumberFormat="1" applyBorder="1" applyAlignment="1">
      <alignment horizontal="center" vertical="center"/>
    </xf>
    <xf numFmtId="164" fontId="0" fillId="0" borderId="18" xfId="0" applyNumberFormat="1" applyBorder="1" applyAlignment="1">
      <alignment horizontal="right" wrapText="1"/>
    </xf>
    <xf numFmtId="164" fontId="0" fillId="0" borderId="18" xfId="3" applyNumberFormat="1" applyFont="1" applyFill="1" applyBorder="1" applyAlignment="1">
      <alignment horizontal="right" wrapText="1"/>
    </xf>
    <xf numFmtId="0" fontId="0" fillId="0" borderId="18" xfId="0" applyBorder="1" applyAlignment="1">
      <alignment horizontal="right"/>
    </xf>
    <xf numFmtId="164" fontId="0" fillId="0" borderId="18" xfId="1" applyNumberFormat="1" applyFont="1" applyFill="1" applyBorder="1" applyAlignment="1">
      <alignment horizontal="right" wrapText="1"/>
    </xf>
    <xf numFmtId="3" fontId="14" fillId="0" borderId="18" xfId="0" applyNumberFormat="1" applyFont="1" applyBorder="1"/>
    <xf numFmtId="3" fontId="14" fillId="0" borderId="32" xfId="0" applyNumberFormat="1" applyFont="1" applyBorder="1" applyAlignment="1">
      <alignment wrapText="1"/>
    </xf>
    <xf numFmtId="3" fontId="14" fillId="0" borderId="0" xfId="0" applyNumberFormat="1" applyFont="1"/>
    <xf numFmtId="165" fontId="14" fillId="0" borderId="58" xfId="0" applyNumberFormat="1" applyFont="1" applyBorder="1"/>
    <xf numFmtId="165" fontId="14" fillId="0" borderId="60" xfId="0" applyNumberFormat="1" applyFont="1" applyBorder="1"/>
    <xf numFmtId="165" fontId="14" fillId="0" borderId="26" xfId="0" applyNumberFormat="1" applyFont="1" applyBorder="1"/>
    <xf numFmtId="165" fontId="14" fillId="0" borderId="19" xfId="0" applyNumberFormat="1" applyFont="1" applyBorder="1"/>
    <xf numFmtId="165" fontId="14" fillId="0" borderId="45" xfId="0" applyNumberFormat="1" applyFont="1" applyBorder="1"/>
    <xf numFmtId="165" fontId="14" fillId="0" borderId="25" xfId="0" applyNumberFormat="1" applyFont="1" applyBorder="1"/>
    <xf numFmtId="164" fontId="1" fillId="0" borderId="21" xfId="1" applyNumberFormat="1" applyFont="1" applyFill="1" applyBorder="1" applyAlignment="1">
      <alignment horizontal="center" vertical="center"/>
    </xf>
    <xf numFmtId="0" fontId="17" fillId="0" borderId="21" xfId="0" applyFont="1" applyBorder="1"/>
    <xf numFmtId="164" fontId="1" fillId="0" borderId="6" xfId="1" applyNumberFormat="1" applyFont="1" applyFill="1" applyBorder="1" applyAlignment="1">
      <alignment horizontal="center" vertical="center"/>
    </xf>
    <xf numFmtId="164" fontId="1" fillId="0" borderId="7" xfId="1" applyNumberFormat="1" applyFont="1" applyFill="1" applyBorder="1" applyAlignment="1">
      <alignment horizontal="center" vertical="center"/>
    </xf>
    <xf numFmtId="42" fontId="1" fillId="0" borderId="19" xfId="2" applyNumberFormat="1" applyFont="1" applyFill="1" applyBorder="1" applyAlignment="1">
      <alignment horizontal="right" vertical="center"/>
    </xf>
    <xf numFmtId="0" fontId="17" fillId="0" borderId="23" xfId="0" applyFont="1" applyBorder="1"/>
    <xf numFmtId="42" fontId="1" fillId="0" borderId="91" xfId="2" applyNumberFormat="1" applyFont="1" applyFill="1" applyBorder="1" applyAlignment="1">
      <alignment horizontal="center" vertical="center"/>
    </xf>
    <xf numFmtId="42" fontId="1" fillId="0" borderId="31" xfId="2" applyNumberFormat="1" applyFont="1" applyFill="1" applyBorder="1" applyAlignment="1">
      <alignment horizontal="center" vertical="center"/>
    </xf>
    <xf numFmtId="164" fontId="0" fillId="0" borderId="18" xfId="1" applyNumberFormat="1" applyFont="1" applyFill="1" applyBorder="1"/>
    <xf numFmtId="0" fontId="7" fillId="7" borderId="13" xfId="1" applyNumberFormat="1" applyFont="1" applyFill="1" applyBorder="1" applyAlignment="1">
      <alignment horizontal="center" vertical="center" wrapText="1"/>
    </xf>
    <xf numFmtId="0" fontId="11" fillId="0" borderId="0" xfId="0" applyFont="1" applyAlignment="1">
      <alignment horizontal="left"/>
    </xf>
    <xf numFmtId="165" fontId="14" fillId="0" borderId="74" xfId="2" applyNumberFormat="1" applyFont="1" applyFill="1" applyBorder="1" applyAlignment="1">
      <alignment horizontal="center"/>
    </xf>
    <xf numFmtId="165" fontId="14" fillId="0" borderId="75" xfId="0" applyNumberFormat="1" applyFont="1" applyBorder="1" applyAlignment="1">
      <alignment horizontal="center"/>
    </xf>
    <xf numFmtId="165" fontId="14" fillId="0" borderId="27" xfId="0" applyNumberFormat="1" applyFont="1" applyBorder="1" applyAlignment="1">
      <alignment horizontal="center"/>
    </xf>
    <xf numFmtId="165" fontId="14" fillId="0" borderId="18" xfId="0" applyNumberFormat="1" applyFont="1" applyBorder="1" applyAlignment="1">
      <alignment horizontal="center"/>
    </xf>
    <xf numFmtId="165" fontId="14" fillId="0" borderId="32" xfId="0" applyNumberFormat="1" applyFont="1" applyBorder="1" applyAlignment="1">
      <alignment horizontal="center"/>
    </xf>
    <xf numFmtId="165" fontId="14" fillId="0" borderId="74" xfId="0" applyNumberFormat="1" applyFont="1" applyBorder="1" applyAlignment="1">
      <alignment horizontal="center"/>
    </xf>
    <xf numFmtId="165" fontId="14" fillId="0" borderId="24" xfId="0" applyNumberFormat="1" applyFont="1" applyBorder="1" applyAlignment="1">
      <alignment horizontal="center"/>
    </xf>
    <xf numFmtId="165" fontId="14" fillId="0" borderId="73" xfId="0" applyNumberFormat="1" applyFont="1" applyBorder="1" applyAlignment="1">
      <alignment horizontal="center"/>
    </xf>
    <xf numFmtId="165" fontId="14" fillId="0" borderId="0" xfId="0" applyNumberFormat="1" applyFont="1" applyAlignment="1">
      <alignment horizontal="center"/>
    </xf>
    <xf numFmtId="165" fontId="14" fillId="0" borderId="16" xfId="0" applyNumberFormat="1" applyFont="1" applyBorder="1" applyAlignment="1">
      <alignment horizontal="center"/>
    </xf>
    <xf numFmtId="167" fontId="14" fillId="0" borderId="22" xfId="1" applyNumberFormat="1" applyFont="1" applyFill="1" applyBorder="1" applyAlignment="1">
      <alignment horizontal="center"/>
    </xf>
    <xf numFmtId="164" fontId="14" fillId="0" borderId="3" xfId="1" applyNumberFormat="1" applyFont="1" applyFill="1" applyBorder="1" applyAlignment="1">
      <alignment horizontal="center"/>
    </xf>
    <xf numFmtId="167" fontId="17" fillId="0" borderId="24" xfId="1" applyNumberFormat="1" applyFont="1" applyFill="1" applyBorder="1" applyAlignment="1">
      <alignment horizontal="center"/>
    </xf>
    <xf numFmtId="164" fontId="17" fillId="0" borderId="69" xfId="1" applyNumberFormat="1" applyFont="1" applyFill="1" applyBorder="1" applyAlignment="1">
      <alignment horizontal="center"/>
    </xf>
    <xf numFmtId="167" fontId="14" fillId="0" borderId="18" xfId="1" applyNumberFormat="1" applyFont="1" applyFill="1" applyBorder="1" applyAlignment="1">
      <alignment horizontal="center"/>
    </xf>
    <xf numFmtId="164" fontId="14" fillId="0" borderId="28" xfId="1" applyNumberFormat="1" applyFont="1" applyFill="1" applyBorder="1" applyAlignment="1">
      <alignment horizontal="center"/>
    </xf>
    <xf numFmtId="167" fontId="14" fillId="0" borderId="13" xfId="1" applyNumberFormat="1" applyFont="1" applyFill="1" applyBorder="1" applyAlignment="1">
      <alignment horizontal="center"/>
    </xf>
    <xf numFmtId="164" fontId="14" fillId="0" borderId="77" xfId="1" applyNumberFormat="1" applyFont="1" applyFill="1" applyBorder="1" applyAlignment="1">
      <alignment horizontal="center"/>
    </xf>
    <xf numFmtId="167" fontId="0" fillId="0" borderId="18" xfId="1" applyNumberFormat="1" applyFont="1" applyFill="1" applyBorder="1" applyAlignment="1">
      <alignment horizontal="center"/>
    </xf>
    <xf numFmtId="164" fontId="0" fillId="0" borderId="28" xfId="1" applyNumberFormat="1" applyFont="1" applyFill="1" applyBorder="1" applyAlignment="1">
      <alignment horizontal="center"/>
    </xf>
    <xf numFmtId="0" fontId="53" fillId="0" borderId="0" xfId="0" applyFont="1"/>
    <xf numFmtId="166" fontId="14" fillId="0" borderId="0" xfId="3" applyNumberFormat="1" applyFont="1" applyFill="1" applyBorder="1" applyAlignment="1">
      <alignment horizontal="center"/>
    </xf>
    <xf numFmtId="165" fontId="3" fillId="3" borderId="2" xfId="0" applyNumberFormat="1" applyFont="1" applyFill="1" applyBorder="1" applyAlignment="1">
      <alignment horizontal="center"/>
    </xf>
    <xf numFmtId="165" fontId="3" fillId="3" borderId="78" xfId="0" applyNumberFormat="1" applyFont="1" applyFill="1" applyBorder="1" applyAlignment="1">
      <alignment horizontal="center"/>
    </xf>
    <xf numFmtId="166" fontId="3" fillId="3" borderId="64" xfId="3" applyNumberFormat="1" applyFont="1" applyFill="1" applyBorder="1" applyAlignment="1">
      <alignment horizontal="center"/>
    </xf>
    <xf numFmtId="164" fontId="3" fillId="8" borderId="36" xfId="1" applyNumberFormat="1" applyFont="1" applyFill="1" applyBorder="1" applyAlignment="1">
      <alignment horizontal="center"/>
    </xf>
    <xf numFmtId="164" fontId="3" fillId="8" borderId="39" xfId="1" applyNumberFormat="1" applyFont="1" applyFill="1" applyBorder="1" applyAlignment="1">
      <alignment horizontal="center"/>
    </xf>
    <xf numFmtId="166" fontId="3" fillId="8" borderId="44" xfId="3" applyNumberFormat="1" applyFont="1" applyFill="1" applyBorder="1" applyAlignment="1">
      <alignment horizontal="center"/>
    </xf>
    <xf numFmtId="165" fontId="3" fillId="8" borderId="21" xfId="1" applyNumberFormat="1" applyFont="1" applyFill="1" applyBorder="1" applyAlignment="1">
      <alignment horizontal="center"/>
    </xf>
    <xf numFmtId="165" fontId="3" fillId="8" borderId="22" xfId="2" applyNumberFormat="1" applyFont="1" applyFill="1" applyBorder="1" applyAlignment="1">
      <alignment horizontal="center"/>
    </xf>
    <xf numFmtId="166" fontId="3" fillId="8" borderId="4" xfId="3" applyNumberFormat="1" applyFont="1" applyFill="1" applyBorder="1" applyAlignment="1">
      <alignment horizontal="center"/>
    </xf>
    <xf numFmtId="173" fontId="3" fillId="8" borderId="39" xfId="1" applyNumberFormat="1" applyFont="1" applyFill="1" applyBorder="1" applyAlignment="1">
      <alignment horizontal="right"/>
    </xf>
    <xf numFmtId="164" fontId="8" fillId="8" borderId="39" xfId="1" applyNumberFormat="1" applyFont="1" applyFill="1" applyBorder="1" applyAlignment="1">
      <alignment horizontal="center"/>
    </xf>
    <xf numFmtId="164" fontId="8" fillId="8" borderId="40" xfId="1" applyNumberFormat="1" applyFont="1" applyFill="1" applyBorder="1" applyAlignment="1">
      <alignment horizontal="center"/>
    </xf>
    <xf numFmtId="167" fontId="8" fillId="8" borderId="40" xfId="1" applyNumberFormat="1" applyFont="1" applyFill="1" applyBorder="1" applyAlignment="1">
      <alignment horizontal="center"/>
    </xf>
    <xf numFmtId="164" fontId="0" fillId="0" borderId="6" xfId="1" applyNumberFormat="1" applyFont="1" applyFill="1" applyBorder="1" applyAlignment="1">
      <alignment horizontal="center"/>
    </xf>
    <xf numFmtId="166" fontId="0" fillId="0" borderId="7" xfId="3" applyNumberFormat="1" applyFont="1" applyFill="1" applyBorder="1" applyAlignment="1">
      <alignment horizontal="center"/>
    </xf>
    <xf numFmtId="165" fontId="0" fillId="0" borderId="41" xfId="2" applyNumberFormat="1" applyFont="1" applyFill="1" applyBorder="1" applyAlignment="1">
      <alignment horizontal="center"/>
    </xf>
    <xf numFmtId="165" fontId="0" fillId="0" borderId="49" xfId="2" applyNumberFormat="1" applyFont="1" applyFill="1" applyBorder="1" applyAlignment="1">
      <alignment horizontal="center"/>
    </xf>
    <xf numFmtId="166" fontId="0" fillId="0" borderId="41" xfId="3" applyNumberFormat="1" applyFont="1" applyFill="1" applyBorder="1" applyAlignment="1">
      <alignment horizontal="center"/>
    </xf>
    <xf numFmtId="164" fontId="0" fillId="0" borderId="58" xfId="1" applyNumberFormat="1" applyFont="1" applyFill="1" applyBorder="1" applyAlignment="1">
      <alignment horizontal="center"/>
    </xf>
    <xf numFmtId="164" fontId="0" fillId="0" borderId="49" xfId="1" applyNumberFormat="1" applyFont="1" applyFill="1" applyBorder="1" applyAlignment="1">
      <alignment horizontal="center"/>
    </xf>
    <xf numFmtId="167" fontId="0" fillId="0" borderId="8" xfId="1" applyNumberFormat="1" applyFont="1" applyFill="1" applyBorder="1" applyAlignment="1">
      <alignment horizontal="right"/>
    </xf>
    <xf numFmtId="164" fontId="18" fillId="0" borderId="20" xfId="1" applyNumberFormat="1" applyFont="1" applyFill="1" applyBorder="1" applyAlignment="1">
      <alignment horizontal="center"/>
    </xf>
    <xf numFmtId="164" fontId="18" fillId="0" borderId="32" xfId="1" applyNumberFormat="1" applyFont="1" applyFill="1" applyBorder="1" applyAlignment="1">
      <alignment horizontal="center"/>
    </xf>
    <xf numFmtId="166" fontId="11" fillId="0" borderId="19" xfId="3" applyNumberFormat="1" applyFont="1" applyFill="1" applyBorder="1" applyAlignment="1">
      <alignment horizontal="center"/>
    </xf>
    <xf numFmtId="165" fontId="11" fillId="0" borderId="27" xfId="2" applyNumberFormat="1" applyFont="1" applyFill="1" applyBorder="1" applyAlignment="1">
      <alignment horizontal="center"/>
    </xf>
    <xf numFmtId="165" fontId="11" fillId="0" borderId="18" xfId="2" applyNumberFormat="1" applyFont="1" applyFill="1" applyBorder="1" applyAlignment="1">
      <alignment horizontal="center"/>
    </xf>
    <xf numFmtId="166" fontId="0" fillId="0" borderId="27" xfId="3" applyNumberFormat="1" applyFont="1" applyFill="1" applyBorder="1" applyAlignment="1">
      <alignment horizontal="center"/>
    </xf>
    <xf numFmtId="164" fontId="0" fillId="0" borderId="26" xfId="1" applyNumberFormat="1" applyFont="1" applyFill="1" applyBorder="1" applyAlignment="1">
      <alignment horizontal="center"/>
    </xf>
    <xf numFmtId="167" fontId="0" fillId="0" borderId="18" xfId="1" applyNumberFormat="1" applyFont="1" applyFill="1" applyBorder="1" applyAlignment="1">
      <alignment horizontal="right"/>
    </xf>
    <xf numFmtId="164" fontId="11" fillId="0" borderId="29" xfId="1" applyNumberFormat="1" applyFont="1" applyFill="1" applyBorder="1" applyAlignment="1">
      <alignment horizontal="center"/>
    </xf>
    <xf numFmtId="164" fontId="11" fillId="0" borderId="30" xfId="1" applyNumberFormat="1" applyFont="1" applyFill="1" applyBorder="1" applyAlignment="1">
      <alignment horizontal="center"/>
    </xf>
    <xf numFmtId="166" fontId="11" fillId="0" borderId="31" xfId="3" applyNumberFormat="1" applyFont="1" applyFill="1" applyBorder="1" applyAlignment="1">
      <alignment horizontal="center"/>
    </xf>
    <xf numFmtId="165" fontId="11" fillId="0" borderId="62" xfId="2" applyNumberFormat="1" applyFont="1" applyFill="1" applyBorder="1" applyAlignment="1">
      <alignment horizontal="center"/>
    </xf>
    <xf numFmtId="165" fontId="11" fillId="0" borderId="30" xfId="2" applyNumberFormat="1" applyFont="1" applyFill="1" applyBorder="1" applyAlignment="1">
      <alignment horizontal="center"/>
    </xf>
    <xf numFmtId="166" fontId="0" fillId="0" borderId="56" xfId="3" applyNumberFormat="1" applyFont="1" applyFill="1" applyBorder="1" applyAlignment="1">
      <alignment horizontal="center"/>
    </xf>
    <xf numFmtId="164" fontId="0" fillId="0" borderId="62" xfId="1" applyNumberFormat="1" applyFont="1" applyFill="1" applyBorder="1" applyAlignment="1">
      <alignment horizontal="center"/>
    </xf>
    <xf numFmtId="164" fontId="0" fillId="0" borderId="30" xfId="1" applyNumberFormat="1" applyFont="1" applyFill="1" applyBorder="1" applyAlignment="1">
      <alignment horizontal="center"/>
    </xf>
    <xf numFmtId="166" fontId="0" fillId="0" borderId="30" xfId="3" applyNumberFormat="1" applyFont="1" applyFill="1" applyBorder="1" applyAlignment="1">
      <alignment horizontal="center"/>
    </xf>
    <xf numFmtId="167" fontId="0" fillId="0" borderId="30" xfId="1" applyNumberFormat="1" applyFont="1" applyFill="1" applyBorder="1" applyAlignment="1">
      <alignment horizontal="right"/>
    </xf>
    <xf numFmtId="164" fontId="0" fillId="0" borderId="68" xfId="1" applyNumberFormat="1" applyFont="1" applyFill="1" applyBorder="1" applyAlignment="1">
      <alignment horizontal="center"/>
    </xf>
    <xf numFmtId="167" fontId="0" fillId="0" borderId="68" xfId="1" applyNumberFormat="1" applyFont="1" applyFill="1" applyBorder="1" applyAlignment="1">
      <alignment horizontal="center"/>
    </xf>
    <xf numFmtId="164" fontId="0" fillId="0" borderId="32" xfId="1" applyNumberFormat="1" applyFont="1" applyFill="1" applyBorder="1" applyAlignment="1">
      <alignment horizontal="center"/>
    </xf>
    <xf numFmtId="164" fontId="0" fillId="0" borderId="20" xfId="1" applyNumberFormat="1" applyFont="1" applyFill="1" applyBorder="1" applyAlignment="1">
      <alignment horizontal="center"/>
    </xf>
    <xf numFmtId="164" fontId="0" fillId="2" borderId="57" xfId="1" applyNumberFormat="1" applyFont="1" applyFill="1" applyBorder="1" applyAlignment="1">
      <alignment horizontal="center" wrapText="1"/>
    </xf>
    <xf numFmtId="164" fontId="0" fillId="2" borderId="8" xfId="1" applyNumberFormat="1" applyFont="1" applyFill="1" applyBorder="1" applyAlignment="1">
      <alignment horizontal="center" wrapText="1"/>
    </xf>
    <xf numFmtId="166" fontId="0" fillId="2" borderId="9" xfId="3" applyNumberFormat="1" applyFont="1" applyFill="1" applyBorder="1" applyAlignment="1">
      <alignment horizontal="center" wrapText="1"/>
    </xf>
    <xf numFmtId="165" fontId="0" fillId="2" borderId="45" xfId="0" applyNumberFormat="1" applyFill="1" applyBorder="1" applyAlignment="1">
      <alignment horizontal="center" wrapText="1"/>
    </xf>
    <xf numFmtId="165" fontId="0" fillId="2" borderId="24" xfId="0" applyNumberFormat="1" applyFill="1" applyBorder="1" applyAlignment="1">
      <alignment horizontal="center" wrapText="1"/>
    </xf>
    <xf numFmtId="166" fontId="0" fillId="2" borderId="74" xfId="3" applyNumberFormat="1" applyFont="1" applyFill="1" applyBorder="1" applyAlignment="1">
      <alignment horizontal="center" wrapText="1"/>
    </xf>
    <xf numFmtId="164" fontId="0" fillId="2" borderId="61" xfId="1" applyNumberFormat="1" applyFont="1" applyFill="1" applyBorder="1" applyAlignment="1">
      <alignment horizontal="center" wrapText="1"/>
    </xf>
    <xf numFmtId="166" fontId="0" fillId="2" borderId="8" xfId="3" applyNumberFormat="1" applyFont="1" applyFill="1" applyBorder="1" applyAlignment="1">
      <alignment horizontal="center" wrapText="1"/>
    </xf>
    <xf numFmtId="167" fontId="0" fillId="2" borderId="8" xfId="1" applyNumberFormat="1" applyFont="1" applyFill="1" applyBorder="1" applyAlignment="1">
      <alignment horizontal="center" wrapText="1"/>
    </xf>
    <xf numFmtId="164" fontId="0" fillId="2" borderId="9" xfId="1" applyNumberFormat="1" applyFont="1" applyFill="1" applyBorder="1" applyAlignment="1">
      <alignment horizontal="center" wrapText="1"/>
    </xf>
    <xf numFmtId="167" fontId="0" fillId="2" borderId="9" xfId="1" applyNumberFormat="1" applyFont="1" applyFill="1" applyBorder="1" applyAlignment="1">
      <alignment horizontal="center" wrapText="1"/>
    </xf>
    <xf numFmtId="164" fontId="0" fillId="0" borderId="21" xfId="1" applyNumberFormat="1" applyFont="1" applyFill="1" applyBorder="1" applyAlignment="1">
      <alignment horizontal="center"/>
    </xf>
    <xf numFmtId="164" fontId="0" fillId="0" borderId="22" xfId="1" applyNumberFormat="1" applyFont="1" applyFill="1" applyBorder="1" applyAlignment="1">
      <alignment horizontal="center"/>
    </xf>
    <xf numFmtId="166" fontId="0" fillId="0" borderId="64" xfId="3" applyNumberFormat="1" applyFont="1" applyFill="1" applyBorder="1" applyAlignment="1">
      <alignment horizontal="center"/>
    </xf>
    <xf numFmtId="165" fontId="0" fillId="0" borderId="21" xfId="1" applyNumberFormat="1" applyFont="1" applyFill="1" applyBorder="1" applyAlignment="1">
      <alignment horizontal="center"/>
    </xf>
    <xf numFmtId="165" fontId="0" fillId="0" borderId="22" xfId="2" applyNumberFormat="1" applyFont="1" applyFill="1" applyBorder="1" applyAlignment="1">
      <alignment horizontal="center"/>
    </xf>
    <xf numFmtId="166" fontId="0" fillId="0" borderId="38" xfId="3" applyNumberFormat="1" applyFont="1" applyFill="1" applyBorder="1" applyAlignment="1">
      <alignment horizontal="center"/>
    </xf>
    <xf numFmtId="166" fontId="14" fillId="0" borderId="22" xfId="3" applyNumberFormat="1" applyFont="1" applyFill="1" applyBorder="1" applyAlignment="1">
      <alignment horizontal="center"/>
    </xf>
    <xf numFmtId="164" fontId="17" fillId="0" borderId="23" xfId="1" applyNumberFormat="1" applyFont="1" applyFill="1" applyBorder="1" applyAlignment="1">
      <alignment horizontal="center"/>
    </xf>
    <xf numFmtId="164" fontId="0" fillId="0" borderId="24" xfId="1" applyNumberFormat="1" applyFont="1" applyFill="1" applyBorder="1" applyAlignment="1">
      <alignment horizontal="center"/>
    </xf>
    <xf numFmtId="166" fontId="0" fillId="0" borderId="66" xfId="3" applyNumberFormat="1" applyFont="1" applyFill="1" applyBorder="1" applyAlignment="1">
      <alignment horizontal="center"/>
    </xf>
    <xf numFmtId="165" fontId="0" fillId="0" borderId="23" xfId="1" applyNumberFormat="1" applyFont="1" applyFill="1" applyBorder="1" applyAlignment="1">
      <alignment horizontal="center"/>
    </xf>
    <xf numFmtId="165" fontId="0" fillId="0" borderId="24" xfId="2" applyNumberFormat="1" applyFont="1" applyFill="1" applyBorder="1" applyAlignment="1">
      <alignment horizontal="center"/>
    </xf>
    <xf numFmtId="166" fontId="14" fillId="0" borderId="24" xfId="3" applyNumberFormat="1" applyFont="1" applyFill="1" applyBorder="1" applyAlignment="1">
      <alignment horizontal="center"/>
    </xf>
    <xf numFmtId="166" fontId="0" fillId="0" borderId="35" xfId="3" applyNumberFormat="1" applyFont="1" applyFill="1" applyBorder="1" applyAlignment="1">
      <alignment horizontal="center"/>
    </xf>
    <xf numFmtId="165" fontId="0" fillId="0" borderId="20" xfId="1" applyNumberFormat="1" applyFont="1" applyFill="1" applyBorder="1" applyAlignment="1">
      <alignment horizontal="center"/>
    </xf>
    <xf numFmtId="165" fontId="0" fillId="0" borderId="18" xfId="2" applyNumberFormat="1" applyFont="1" applyFill="1" applyBorder="1" applyAlignment="1">
      <alignment horizontal="center"/>
    </xf>
    <xf numFmtId="166" fontId="14" fillId="0" borderId="18" xfId="3" applyNumberFormat="1" applyFont="1" applyFill="1" applyBorder="1" applyAlignment="1">
      <alignment horizontal="center"/>
    </xf>
    <xf numFmtId="164" fontId="0" fillId="0" borderId="10" xfId="1" applyNumberFormat="1" applyFont="1" applyFill="1" applyBorder="1" applyAlignment="1">
      <alignment horizontal="center"/>
    </xf>
    <xf numFmtId="164" fontId="0" fillId="0" borderId="13" xfId="1" applyNumberFormat="1" applyFont="1" applyFill="1" applyBorder="1" applyAlignment="1">
      <alignment horizontal="center"/>
    </xf>
    <xf numFmtId="166" fontId="0" fillId="0" borderId="37" xfId="3" applyNumberFormat="1" applyFont="1" applyFill="1" applyBorder="1" applyAlignment="1">
      <alignment horizontal="center"/>
    </xf>
    <xf numFmtId="165" fontId="0" fillId="0" borderId="10" xfId="1" applyNumberFormat="1" applyFont="1" applyFill="1" applyBorder="1" applyAlignment="1">
      <alignment horizontal="center"/>
    </xf>
    <xf numFmtId="165" fontId="0" fillId="0" borderId="13" xfId="2" applyNumberFormat="1" applyFont="1" applyFill="1" applyBorder="1" applyAlignment="1">
      <alignment horizontal="center"/>
    </xf>
    <xf numFmtId="164" fontId="0" fillId="2" borderId="33" xfId="1" applyNumberFormat="1" applyFont="1" applyFill="1" applyBorder="1" applyAlignment="1">
      <alignment horizontal="center" wrapText="1"/>
    </xf>
    <xf numFmtId="164" fontId="0" fillId="2" borderId="49" xfId="1" applyNumberFormat="1" applyFont="1" applyFill="1" applyBorder="1" applyAlignment="1">
      <alignment horizontal="center" wrapText="1"/>
    </xf>
    <xf numFmtId="166" fontId="0" fillId="2" borderId="60" xfId="3" applyNumberFormat="1" applyFont="1" applyFill="1" applyBorder="1" applyAlignment="1">
      <alignment horizontal="center" wrapText="1"/>
    </xf>
    <xf numFmtId="165" fontId="0" fillId="2" borderId="33" xfId="0" applyNumberFormat="1" applyFill="1" applyBorder="1" applyAlignment="1">
      <alignment horizontal="center" wrapText="1"/>
    </xf>
    <xf numFmtId="165" fontId="0" fillId="2" borderId="49" xfId="0" applyNumberFormat="1" applyFill="1" applyBorder="1" applyAlignment="1">
      <alignment horizontal="center" wrapText="1"/>
    </xf>
    <xf numFmtId="166" fontId="0" fillId="2" borderId="65" xfId="3" applyNumberFormat="1" applyFont="1" applyFill="1" applyBorder="1" applyAlignment="1">
      <alignment horizontal="center" wrapText="1"/>
    </xf>
    <xf numFmtId="166" fontId="0" fillId="2" borderId="49" xfId="3" applyNumberFormat="1" applyFont="1" applyFill="1" applyBorder="1" applyAlignment="1">
      <alignment horizontal="center" wrapText="1"/>
    </xf>
    <xf numFmtId="167" fontId="0" fillId="2" borderId="49" xfId="1" applyNumberFormat="1" applyFont="1" applyFill="1" applyBorder="1" applyAlignment="1">
      <alignment horizontal="center" wrapText="1"/>
    </xf>
    <xf numFmtId="164" fontId="0" fillId="2" borderId="1" xfId="1" applyNumberFormat="1" applyFont="1" applyFill="1" applyBorder="1" applyAlignment="1">
      <alignment horizontal="center" wrapText="1"/>
    </xf>
    <xf numFmtId="167" fontId="0" fillId="2" borderId="1" xfId="1" applyNumberFormat="1" applyFont="1" applyFill="1" applyBorder="1" applyAlignment="1">
      <alignment horizontal="center" wrapText="1"/>
    </xf>
    <xf numFmtId="164" fontId="0" fillId="0" borderId="42" xfId="1" applyNumberFormat="1" applyFont="1" applyFill="1" applyBorder="1" applyAlignment="1">
      <alignment horizontal="center"/>
    </xf>
    <xf numFmtId="165" fontId="0" fillId="0" borderId="42" xfId="0" applyNumberFormat="1" applyBorder="1" applyAlignment="1">
      <alignment horizontal="center"/>
    </xf>
    <xf numFmtId="165" fontId="0" fillId="0" borderId="8" xfId="2" applyNumberFormat="1" applyFont="1" applyFill="1" applyBorder="1" applyAlignment="1">
      <alignment horizontal="center"/>
    </xf>
    <xf numFmtId="166" fontId="0" fillId="0" borderId="34" xfId="3" applyNumberFormat="1" applyFont="1" applyFill="1" applyBorder="1" applyAlignment="1">
      <alignment horizontal="center"/>
    </xf>
    <xf numFmtId="166" fontId="0" fillId="0" borderId="19" xfId="3" applyNumberFormat="1" applyFont="1" applyFill="1" applyBorder="1" applyAlignment="1">
      <alignment horizontal="center"/>
    </xf>
    <xf numFmtId="165" fontId="0" fillId="0" borderId="32" xfId="0" applyNumberFormat="1" applyBorder="1" applyAlignment="1">
      <alignment horizontal="center"/>
    </xf>
    <xf numFmtId="165" fontId="0" fillId="0" borderId="18" xfId="0" applyNumberFormat="1" applyBorder="1" applyAlignment="1">
      <alignment horizontal="center"/>
    </xf>
    <xf numFmtId="164" fontId="3" fillId="8" borderId="10" xfId="1" applyNumberFormat="1" applyFont="1" applyFill="1" applyBorder="1" applyAlignment="1">
      <alignment horizontal="center"/>
    </xf>
    <xf numFmtId="166" fontId="3" fillId="8" borderId="11" xfId="3" applyNumberFormat="1" applyFont="1" applyFill="1" applyBorder="1" applyAlignment="1">
      <alignment horizontal="center"/>
    </xf>
    <xf numFmtId="165" fontId="3" fillId="8" borderId="0" xfId="2" applyNumberFormat="1" applyFont="1" applyFill="1" applyBorder="1" applyAlignment="1">
      <alignment horizontal="center"/>
    </xf>
    <xf numFmtId="165" fontId="3" fillId="8" borderId="30" xfId="2" applyNumberFormat="1" applyFont="1" applyFill="1" applyBorder="1" applyAlignment="1">
      <alignment horizontal="center"/>
    </xf>
    <xf numFmtId="166" fontId="3" fillId="8" borderId="0" xfId="3" applyNumberFormat="1" applyFont="1" applyFill="1" applyBorder="1" applyAlignment="1">
      <alignment horizontal="center"/>
    </xf>
    <xf numFmtId="165" fontId="0" fillId="2" borderId="21" xfId="0" applyNumberFormat="1" applyFill="1" applyBorder="1" applyAlignment="1">
      <alignment horizontal="center" wrapText="1"/>
    </xf>
    <xf numFmtId="165" fontId="0" fillId="2" borderId="22" xfId="0" applyNumberFormat="1" applyFill="1" applyBorder="1" applyAlignment="1">
      <alignment horizontal="center" wrapText="1"/>
    </xf>
    <xf numFmtId="166" fontId="0" fillId="2" borderId="38" xfId="3" applyNumberFormat="1" applyFont="1" applyFill="1" applyBorder="1" applyAlignment="1">
      <alignment horizontal="center" wrapText="1"/>
    </xf>
    <xf numFmtId="164" fontId="0" fillId="2" borderId="6" xfId="1" applyNumberFormat="1" applyFont="1" applyFill="1" applyBorder="1" applyAlignment="1">
      <alignment horizontal="center" wrapText="1"/>
    </xf>
    <xf numFmtId="166" fontId="0" fillId="2" borderId="7" xfId="3" applyNumberFormat="1" applyFont="1" applyFill="1" applyBorder="1" applyAlignment="1">
      <alignment horizontal="center" wrapText="1"/>
    </xf>
    <xf numFmtId="165" fontId="0" fillId="2" borderId="6" xfId="0" applyNumberFormat="1" applyFill="1" applyBorder="1" applyAlignment="1">
      <alignment horizontal="center" wrapText="1"/>
    </xf>
    <xf numFmtId="165" fontId="0" fillId="2" borderId="8" xfId="0" applyNumberFormat="1" applyFill="1" applyBorder="1" applyAlignment="1">
      <alignment horizontal="center" wrapText="1"/>
    </xf>
    <xf numFmtId="166" fontId="0" fillId="2" borderId="34" xfId="3" applyNumberFormat="1" applyFont="1" applyFill="1" applyBorder="1" applyAlignment="1">
      <alignment horizontal="center" wrapText="1"/>
    </xf>
    <xf numFmtId="164" fontId="0" fillId="2" borderId="23" xfId="1" applyNumberFormat="1" applyFont="1" applyFill="1" applyBorder="1" applyAlignment="1">
      <alignment horizontal="center" wrapText="1"/>
    </xf>
    <xf numFmtId="164" fontId="0" fillId="2" borderId="24" xfId="1" applyNumberFormat="1" applyFont="1" applyFill="1" applyBorder="1" applyAlignment="1">
      <alignment horizontal="center" wrapText="1"/>
    </xf>
    <xf numFmtId="166" fontId="0" fillId="2" borderId="24" xfId="3" applyNumberFormat="1" applyFont="1" applyFill="1" applyBorder="1" applyAlignment="1">
      <alignment horizontal="center" wrapText="1"/>
    </xf>
    <xf numFmtId="167" fontId="0" fillId="2" borderId="24" xfId="1" applyNumberFormat="1" applyFont="1" applyFill="1" applyBorder="1" applyAlignment="1">
      <alignment horizontal="center" wrapText="1"/>
    </xf>
    <xf numFmtId="164" fontId="0" fillId="2" borderId="69" xfId="1" applyNumberFormat="1" applyFont="1" applyFill="1" applyBorder="1" applyAlignment="1">
      <alignment horizontal="center" wrapText="1"/>
    </xf>
    <xf numFmtId="167" fontId="0" fillId="2" borderId="69" xfId="1" applyNumberFormat="1" applyFont="1" applyFill="1" applyBorder="1" applyAlignment="1">
      <alignment horizontal="center" wrapText="1"/>
    </xf>
    <xf numFmtId="3" fontId="18" fillId="0" borderId="21" xfId="0" applyNumberFormat="1" applyFont="1" applyBorder="1"/>
    <xf numFmtId="3" fontId="18" fillId="0" borderId="22" xfId="0" applyNumberFormat="1" applyFont="1" applyBorder="1"/>
    <xf numFmtId="0" fontId="18" fillId="0" borderId="64" xfId="0" applyFont="1" applyBorder="1" applyAlignment="1">
      <alignment horizontal="center"/>
    </xf>
    <xf numFmtId="165" fontId="18" fillId="0" borderId="21" xfId="2" applyNumberFormat="1" applyFont="1" applyFill="1" applyBorder="1" applyAlignment="1"/>
    <xf numFmtId="165" fontId="18" fillId="0" borderId="22" xfId="0" applyNumberFormat="1" applyFont="1" applyBorder="1"/>
    <xf numFmtId="0" fontId="14" fillId="0" borderId="64" xfId="0" applyFont="1" applyBorder="1" applyAlignment="1">
      <alignment horizontal="center"/>
    </xf>
    <xf numFmtId="37" fontId="14" fillId="0" borderId="21" xfId="0" applyNumberFormat="1" applyFont="1" applyBorder="1"/>
    <xf numFmtId="3" fontId="14" fillId="0" borderId="22" xfId="0" applyNumberFormat="1" applyFont="1" applyBorder="1"/>
    <xf numFmtId="0" fontId="14" fillId="0" borderId="22" xfId="0" applyFont="1" applyBorder="1" applyAlignment="1">
      <alignment horizontal="center"/>
    </xf>
    <xf numFmtId="0" fontId="14" fillId="0" borderId="22" xfId="0" applyFont="1" applyBorder="1"/>
    <xf numFmtId="37" fontId="14" fillId="0" borderId="22" xfId="0" applyNumberFormat="1" applyFont="1" applyBorder="1"/>
    <xf numFmtId="3" fontId="14" fillId="0" borderId="64" xfId="0" applyNumberFormat="1" applyFont="1" applyBorder="1"/>
    <xf numFmtId="174" fontId="14" fillId="0" borderId="21" xfId="0" applyNumberFormat="1" applyFont="1" applyBorder="1"/>
    <xf numFmtId="167" fontId="14" fillId="0" borderId="64" xfId="0" applyNumberFormat="1" applyFont="1" applyBorder="1"/>
    <xf numFmtId="164" fontId="14" fillId="0" borderId="34" xfId="1" applyNumberFormat="1" applyFont="1" applyFill="1" applyBorder="1" applyAlignment="1">
      <alignment horizontal="center"/>
    </xf>
    <xf numFmtId="164" fontId="14" fillId="0" borderId="66" xfId="1" applyNumberFormat="1" applyFont="1" applyFill="1" applyBorder="1" applyAlignment="1">
      <alignment horizontal="center"/>
    </xf>
    <xf numFmtId="164" fontId="14" fillId="0" borderId="35" xfId="1" applyNumberFormat="1" applyFont="1" applyFill="1" applyBorder="1" applyAlignment="1">
      <alignment horizontal="center"/>
    </xf>
    <xf numFmtId="164" fontId="14" fillId="0" borderId="37" xfId="1" applyNumberFormat="1" applyFont="1" applyFill="1" applyBorder="1" applyAlignment="1">
      <alignment horizontal="center"/>
    </xf>
    <xf numFmtId="164" fontId="14" fillId="0" borderId="131" xfId="1" applyNumberFormat="1" applyFont="1" applyFill="1" applyBorder="1" applyAlignment="1">
      <alignment horizontal="center"/>
    </xf>
    <xf numFmtId="164" fontId="14" fillId="0" borderId="39" xfId="1" applyNumberFormat="1" applyFont="1" applyFill="1" applyBorder="1" applyAlignment="1">
      <alignment horizontal="center"/>
    </xf>
    <xf numFmtId="164" fontId="14" fillId="0" borderId="61" xfId="1" applyNumberFormat="1" applyFont="1" applyFill="1" applyBorder="1" applyAlignment="1">
      <alignment horizontal="center"/>
    </xf>
    <xf numFmtId="164" fontId="14" fillId="0" borderId="74" xfId="1" applyNumberFormat="1" applyFont="1" applyFill="1" applyBorder="1" applyAlignment="1">
      <alignment horizontal="center"/>
    </xf>
    <xf numFmtId="164" fontId="14" fillId="0" borderId="43" xfId="1" applyNumberFormat="1" applyFont="1" applyFill="1" applyBorder="1" applyAlignment="1">
      <alignment horizontal="center"/>
    </xf>
    <xf numFmtId="171" fontId="14" fillId="0" borderId="61" xfId="1" applyNumberFormat="1" applyFont="1" applyFill="1" applyBorder="1" applyAlignment="1">
      <alignment horizontal="right"/>
    </xf>
    <xf numFmtId="171" fontId="14" fillId="0" borderId="74" xfId="1" applyNumberFormat="1" applyFont="1" applyFill="1" applyBorder="1" applyAlignment="1">
      <alignment horizontal="right"/>
    </xf>
    <xf numFmtId="171" fontId="14" fillId="0" borderId="74" xfId="1" applyNumberFormat="1" applyFont="1" applyFill="1" applyBorder="1" applyAlignment="1">
      <alignment horizontal="right" wrapText="1"/>
    </xf>
    <xf numFmtId="171" fontId="14" fillId="0" borderId="43" xfId="1" applyNumberFormat="1" applyFont="1" applyFill="1" applyBorder="1" applyAlignment="1">
      <alignment horizontal="right"/>
    </xf>
    <xf numFmtId="164" fontId="14" fillId="0" borderId="7" xfId="1" applyNumberFormat="1" applyFont="1" applyFill="1" applyBorder="1" applyAlignment="1">
      <alignment horizontal="center"/>
    </xf>
    <xf numFmtId="164" fontId="14" fillId="0" borderId="25" xfId="1" applyNumberFormat="1" applyFont="1" applyFill="1" applyBorder="1" applyAlignment="1">
      <alignment horizontal="center"/>
    </xf>
    <xf numFmtId="164" fontId="14" fillId="0" borderId="40" xfId="1" applyNumberFormat="1" applyFont="1" applyFill="1" applyBorder="1" applyAlignment="1">
      <alignment horizontal="center"/>
    </xf>
    <xf numFmtId="164" fontId="14" fillId="0" borderId="44" xfId="1" applyNumberFormat="1" applyFont="1" applyFill="1" applyBorder="1" applyAlignment="1">
      <alignment horizontal="center"/>
    </xf>
    <xf numFmtId="167" fontId="14" fillId="0" borderId="7" xfId="1" applyNumberFormat="1" applyFont="1" applyFill="1" applyBorder="1" applyAlignment="1">
      <alignment horizontal="center"/>
    </xf>
    <xf numFmtId="167" fontId="14" fillId="0" borderId="25" xfId="1" applyNumberFormat="1" applyFont="1" applyFill="1" applyBorder="1" applyAlignment="1">
      <alignment horizontal="center"/>
    </xf>
    <xf numFmtId="167" fontId="14" fillId="0" borderId="40" xfId="1" applyNumberFormat="1" applyFont="1" applyFill="1" applyBorder="1" applyAlignment="1">
      <alignment horizontal="center"/>
    </xf>
    <xf numFmtId="0" fontId="11" fillId="0" borderId="2" xfId="0" applyFont="1" applyBorder="1" applyAlignment="1">
      <alignment horizontal="left" wrapText="1"/>
    </xf>
    <xf numFmtId="165" fontId="11" fillId="0" borderId="55" xfId="2" applyNumberFormat="1" applyFont="1" applyBorder="1"/>
    <xf numFmtId="165" fontId="11" fillId="0" borderId="0" xfId="2" applyNumberFormat="1" applyFont="1"/>
    <xf numFmtId="165" fontId="11" fillId="0" borderId="76" xfId="2" applyNumberFormat="1" applyFont="1" applyBorder="1"/>
    <xf numFmtId="165" fontId="3" fillId="0" borderId="51" xfId="2" applyNumberFormat="1" applyFont="1" applyBorder="1"/>
    <xf numFmtId="43" fontId="3" fillId="0" borderId="19" xfId="1" applyFont="1" applyBorder="1"/>
    <xf numFmtId="165" fontId="11" fillId="0" borderId="76" xfId="0" applyNumberFormat="1" applyFont="1" applyBorder="1"/>
    <xf numFmtId="43" fontId="3" fillId="0" borderId="51" xfId="1" applyFont="1" applyBorder="1"/>
    <xf numFmtId="165" fontId="0" fillId="0" borderId="68" xfId="2" applyNumberFormat="1" applyFont="1" applyBorder="1"/>
    <xf numFmtId="43" fontId="3" fillId="0" borderId="55" xfId="1" applyFont="1" applyBorder="1"/>
    <xf numFmtId="43" fontId="3" fillId="0" borderId="0" xfId="1" applyFont="1"/>
    <xf numFmtId="43" fontId="3" fillId="0" borderId="76" xfId="1" applyFont="1" applyBorder="1"/>
    <xf numFmtId="165" fontId="3" fillId="0" borderId="93" xfId="2" applyNumberFormat="1" applyFont="1" applyBorder="1"/>
    <xf numFmtId="43" fontId="3" fillId="0" borderId="48" xfId="1" applyFont="1" applyBorder="1"/>
    <xf numFmtId="43" fontId="0" fillId="0" borderId="0" xfId="0" applyNumberFormat="1"/>
    <xf numFmtId="164" fontId="0" fillId="0" borderId="0" xfId="1" applyNumberFormat="1" applyFont="1" applyBorder="1"/>
    <xf numFmtId="9" fontId="0" fillId="0" borderId="18" xfId="3" applyFont="1" applyFill="1" applyBorder="1"/>
    <xf numFmtId="164" fontId="0" fillId="0" borderId="18" xfId="1" applyNumberFormat="1" applyFont="1" applyFill="1" applyBorder="1" applyAlignment="1">
      <alignment horizontal="center" vertical="center"/>
    </xf>
    <xf numFmtId="0" fontId="30" fillId="0" borderId="35" xfId="0" applyFont="1" applyBorder="1" applyAlignment="1">
      <alignment vertical="center" wrapText="1"/>
    </xf>
    <xf numFmtId="0" fontId="25" fillId="2" borderId="2" xfId="6" applyFont="1" applyFill="1" applyBorder="1" applyAlignment="1">
      <alignment horizontal="center" vertical="center" wrapText="1"/>
    </xf>
    <xf numFmtId="0" fontId="30" fillId="0" borderId="66" xfId="0" applyFont="1" applyBorder="1" applyAlignment="1">
      <alignment vertical="center" wrapText="1"/>
    </xf>
    <xf numFmtId="0" fontId="25" fillId="2" borderId="50" xfId="6" applyFont="1" applyFill="1" applyBorder="1" applyAlignment="1">
      <alignment horizontal="center" vertical="center" wrapText="1"/>
    </xf>
    <xf numFmtId="0" fontId="35" fillId="9" borderId="18" xfId="7" applyFont="1" applyFill="1" applyBorder="1"/>
    <xf numFmtId="164" fontId="30" fillId="9" borderId="18" xfId="7" applyNumberFormat="1" applyFill="1" applyBorder="1"/>
    <xf numFmtId="0" fontId="0" fillId="0" borderId="58" xfId="0" applyBorder="1"/>
    <xf numFmtId="0" fontId="48" fillId="5" borderId="1" xfId="6" applyFont="1" applyFill="1" applyBorder="1"/>
    <xf numFmtId="0" fontId="3" fillId="12" borderId="55" xfId="0" applyFont="1" applyFill="1" applyBorder="1"/>
    <xf numFmtId="0" fontId="0" fillId="0" borderId="53" xfId="0" applyBorder="1"/>
    <xf numFmtId="167" fontId="11" fillId="0" borderId="28" xfId="1" applyNumberFormat="1" applyFont="1" applyFill="1" applyBorder="1" applyAlignment="1">
      <alignment wrapText="1"/>
    </xf>
    <xf numFmtId="167" fontId="0" fillId="0" borderId="28" xfId="1" applyNumberFormat="1" applyFont="1" applyBorder="1" applyAlignment="1">
      <alignment wrapText="1"/>
    </xf>
    <xf numFmtId="0" fontId="0" fillId="11" borderId="32" xfId="0" applyFill="1" applyBorder="1" applyAlignment="1" applyProtection="1">
      <alignment horizontal="center" vertical="center"/>
      <protection hidden="1"/>
    </xf>
    <xf numFmtId="44" fontId="0" fillId="0" borderId="0" xfId="2" applyFont="1"/>
    <xf numFmtId="3" fontId="0" fillId="0" borderId="32" xfId="0" applyNumberFormat="1" applyBorder="1" applyProtection="1">
      <protection hidden="1"/>
    </xf>
    <xf numFmtId="6" fontId="0" fillId="0" borderId="18" xfId="2" applyNumberFormat="1" applyFont="1" applyFill="1" applyBorder="1" applyProtection="1">
      <protection locked="0"/>
    </xf>
    <xf numFmtId="165" fontId="17" fillId="0" borderId="7" xfId="2" applyNumberFormat="1" applyFont="1" applyFill="1" applyBorder="1" applyAlignment="1">
      <alignment horizontal="right" vertical="center"/>
    </xf>
    <xf numFmtId="165" fontId="17" fillId="0" borderId="2" xfId="2" applyNumberFormat="1" applyFont="1" applyFill="1" applyBorder="1"/>
    <xf numFmtId="42" fontId="1" fillId="0" borderId="50" xfId="0" applyNumberFormat="1" applyFont="1" applyFill="1" applyBorder="1" applyAlignment="1">
      <alignment horizontal="center" vertical="center"/>
    </xf>
    <xf numFmtId="165" fontId="17" fillId="0" borderId="25" xfId="2" applyNumberFormat="1" applyFont="1" applyFill="1" applyBorder="1"/>
    <xf numFmtId="165" fontId="17" fillId="0" borderId="23" xfId="2" applyNumberFormat="1" applyFont="1" applyFill="1" applyBorder="1"/>
    <xf numFmtId="0" fontId="0" fillId="11" borderId="27" xfId="0" applyFill="1" applyBorder="1" applyAlignment="1" applyProtection="1">
      <alignment horizontal="center" vertical="center"/>
      <protection hidden="1"/>
    </xf>
    <xf numFmtId="0" fontId="0" fillId="11" borderId="32" xfId="0" applyFill="1" applyBorder="1" applyAlignment="1" applyProtection="1">
      <alignment horizontal="center" vertical="center"/>
      <protection hidden="1"/>
    </xf>
    <xf numFmtId="0" fontId="0" fillId="13" borderId="35" xfId="0" applyFill="1" applyBorder="1" applyAlignment="1" applyProtection="1">
      <alignment horizontal="center" vertical="center"/>
      <protection hidden="1"/>
    </xf>
    <xf numFmtId="0" fontId="0" fillId="13" borderId="27" xfId="0" applyFill="1" applyBorder="1" applyAlignment="1" applyProtection="1">
      <alignment horizontal="center" vertical="center"/>
      <protection hidden="1"/>
    </xf>
    <xf numFmtId="0" fontId="0" fillId="13" borderId="32" xfId="0" applyFill="1" applyBorder="1" applyAlignment="1" applyProtection="1">
      <alignment horizontal="center" vertical="center"/>
      <protection hidden="1"/>
    </xf>
    <xf numFmtId="0" fontId="0" fillId="14" borderId="35" xfId="0" applyFill="1" applyBorder="1" applyAlignment="1" applyProtection="1">
      <alignment horizontal="center" vertical="center" wrapText="1"/>
      <protection hidden="1"/>
    </xf>
    <xf numFmtId="0" fontId="0" fillId="14" borderId="27" xfId="0" applyFill="1" applyBorder="1" applyAlignment="1" applyProtection="1">
      <alignment horizontal="center" vertical="center" wrapText="1"/>
      <protection hidden="1"/>
    </xf>
    <xf numFmtId="0" fontId="0" fillId="14" borderId="32" xfId="0" applyFill="1" applyBorder="1" applyAlignment="1" applyProtection="1">
      <alignment horizontal="center" vertical="center" wrapText="1"/>
      <protection hidden="1"/>
    </xf>
    <xf numFmtId="0" fontId="37" fillId="0" borderId="41" xfId="0" applyFont="1" applyBorder="1" applyAlignment="1">
      <alignment vertical="top" wrapText="1"/>
    </xf>
    <xf numFmtId="0" fontId="39" fillId="0" borderId="41" xfId="0" applyFont="1" applyBorder="1" applyAlignment="1">
      <alignment vertical="top"/>
    </xf>
    <xf numFmtId="0" fontId="50" fillId="0" borderId="41" xfId="0" applyFont="1" applyBorder="1" applyAlignment="1">
      <alignment horizontal="left" vertical="top" wrapText="1"/>
    </xf>
    <xf numFmtId="0" fontId="0" fillId="0" borderId="41" xfId="0" applyBorder="1" applyAlignment="1">
      <alignment horizontal="left" vertical="top" wrapText="1"/>
    </xf>
    <xf numFmtId="0" fontId="11" fillId="0" borderId="41" xfId="0" applyFont="1" applyBorder="1" applyAlignment="1">
      <alignment horizontal="left" vertical="top" wrapText="1"/>
    </xf>
    <xf numFmtId="0" fontId="0" fillId="11" borderId="58" xfId="0" applyFill="1" applyBorder="1" applyAlignment="1">
      <alignment horizontal="center"/>
    </xf>
    <xf numFmtId="0" fontId="0" fillId="11" borderId="41" xfId="0" applyFill="1" applyBorder="1" applyAlignment="1">
      <alignment horizontal="center"/>
    </xf>
    <xf numFmtId="0" fontId="0" fillId="11" borderId="1" xfId="0" applyFill="1" applyBorder="1" applyAlignment="1">
      <alignment horizontal="center"/>
    </xf>
    <xf numFmtId="0" fontId="37" fillId="0" borderId="41" xfId="0" applyFont="1" applyBorder="1" applyAlignment="1">
      <alignment horizontal="left" vertical="top" wrapText="1"/>
    </xf>
    <xf numFmtId="0" fontId="36" fillId="0" borderId="41" xfId="0" applyFont="1" applyBorder="1" applyAlignment="1">
      <alignment horizontal="left" vertical="top" wrapText="1"/>
    </xf>
    <xf numFmtId="0" fontId="0" fillId="0" borderId="30" xfId="0" applyBorder="1" applyAlignment="1">
      <alignment horizontal="center" vertical="center" wrapText="1"/>
    </xf>
    <xf numFmtId="0" fontId="0" fillId="0" borderId="16" xfId="0" applyBorder="1" applyAlignment="1">
      <alignment horizontal="center" vertical="center" wrapText="1"/>
    </xf>
    <xf numFmtId="0" fontId="0" fillId="0" borderId="24" xfId="0" applyBorder="1" applyAlignment="1">
      <alignment horizontal="center" vertical="center" wrapText="1"/>
    </xf>
    <xf numFmtId="0" fontId="8" fillId="23" borderId="18" xfId="0" applyFont="1" applyFill="1" applyBorder="1" applyAlignment="1">
      <alignment horizontal="left" vertical="center" wrapText="1"/>
    </xf>
    <xf numFmtId="0" fontId="8" fillId="23" borderId="56" xfId="0" applyFont="1" applyFill="1" applyBorder="1" applyAlignment="1">
      <alignment horizontal="left" vertical="center" wrapText="1"/>
    </xf>
    <xf numFmtId="0" fontId="0" fillId="0" borderId="27" xfId="0" applyBorder="1" applyAlignment="1">
      <alignment horizontal="right"/>
    </xf>
    <xf numFmtId="0" fontId="0" fillId="0" borderId="32" xfId="0" applyBorder="1" applyAlignment="1">
      <alignment horizontal="right"/>
    </xf>
    <xf numFmtId="0" fontId="37" fillId="0" borderId="18" xfId="0" applyFont="1" applyBorder="1" applyAlignment="1">
      <alignment horizontal="left" vertical="top" wrapText="1"/>
    </xf>
    <xf numFmtId="0" fontId="0" fillId="0" borderId="18" xfId="0" applyBorder="1" applyAlignment="1">
      <alignment horizontal="left" vertical="top" wrapText="1"/>
    </xf>
    <xf numFmtId="0" fontId="7" fillId="2" borderId="62"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8" fillId="28" borderId="18" xfId="8" applyFont="1" applyFill="1" applyBorder="1" applyAlignment="1">
      <alignment horizontal="center" vertical="center"/>
    </xf>
    <xf numFmtId="0" fontId="8" fillId="28" borderId="35" xfId="8" applyFont="1" applyFill="1" applyBorder="1" applyAlignment="1">
      <alignment horizontal="center" vertical="center"/>
    </xf>
    <xf numFmtId="0" fontId="8" fillId="28" borderId="32" xfId="8" applyFont="1" applyFill="1" applyBorder="1" applyAlignment="1">
      <alignment horizontal="center" vertical="center"/>
    </xf>
    <xf numFmtId="0" fontId="0" fillId="0" borderId="0" xfId="0" applyAlignment="1">
      <alignment horizontal="left" wrapText="1"/>
    </xf>
    <xf numFmtId="0" fontId="0" fillId="0" borderId="46" xfId="0"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165" fontId="0" fillId="27" borderId="27" xfId="2" applyNumberFormat="1" applyFont="1" applyFill="1" applyBorder="1" applyAlignment="1">
      <alignment horizontal="center"/>
    </xf>
    <xf numFmtId="165" fontId="0" fillId="27" borderId="32" xfId="2" applyNumberFormat="1" applyFont="1" applyFill="1" applyBorder="1" applyAlignment="1">
      <alignment horizont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0" borderId="5" xfId="0" applyBorder="1" applyAlignment="1">
      <alignment horizontal="left" vertical="center" wrapText="1"/>
    </xf>
    <xf numFmtId="0" fontId="0" fillId="0" borderId="51" xfId="0" applyBorder="1" applyAlignment="1">
      <alignment horizontal="left" vertical="center" wrapText="1"/>
    </xf>
    <xf numFmtId="0" fontId="0" fillId="0" borderId="14" xfId="0" applyBorder="1" applyAlignment="1">
      <alignment horizontal="left" vertical="center" wrapText="1"/>
    </xf>
    <xf numFmtId="0" fontId="0" fillId="0" borderId="58" xfId="0" applyBorder="1" applyAlignment="1">
      <alignment horizontal="left" vertical="center" wrapText="1"/>
    </xf>
    <xf numFmtId="0" fontId="0" fillId="0" borderId="55" xfId="0" applyBorder="1" applyAlignment="1">
      <alignment horizontal="left" vertical="center" wrapText="1"/>
    </xf>
    <xf numFmtId="0" fontId="0" fillId="5" borderId="109" xfId="0" applyFill="1" applyBorder="1" applyAlignment="1">
      <alignment horizontal="left" vertical="center"/>
    </xf>
    <xf numFmtId="0" fontId="0" fillId="5" borderId="112" xfId="0" applyFill="1" applyBorder="1" applyAlignment="1">
      <alignment horizontal="left" vertical="center"/>
    </xf>
    <xf numFmtId="164" fontId="7" fillId="2" borderId="43" xfId="1" applyNumberFormat="1" applyFont="1" applyFill="1" applyBorder="1" applyAlignment="1">
      <alignment horizontal="center" vertical="center" wrapText="1"/>
    </xf>
    <xf numFmtId="164" fontId="7" fillId="7" borderId="53" xfId="1" applyNumberFormat="1" applyFont="1" applyFill="1" applyBorder="1" applyAlignment="1">
      <alignment horizontal="center" vertical="center" wrapText="1"/>
    </xf>
    <xf numFmtId="164" fontId="7" fillId="7" borderId="59"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08" xfId="0" applyFont="1" applyFill="1" applyBorder="1" applyAlignment="1">
      <alignment horizontal="center" vertical="center" wrapText="1"/>
    </xf>
    <xf numFmtId="0" fontId="6" fillId="2" borderId="102" xfId="0" applyFont="1" applyFill="1" applyBorder="1" applyAlignment="1">
      <alignment horizontal="center" vertical="center" wrapText="1"/>
    </xf>
    <xf numFmtId="0" fontId="6" fillId="7" borderId="103" xfId="0" applyFont="1" applyFill="1" applyBorder="1" applyAlignment="1">
      <alignment horizontal="center" vertical="center" wrapText="1"/>
    </xf>
    <xf numFmtId="0" fontId="6" fillId="7" borderId="101" xfId="0" applyFont="1" applyFill="1" applyBorder="1" applyAlignment="1">
      <alignment horizontal="center" vertical="center" wrapText="1"/>
    </xf>
    <xf numFmtId="0" fontId="6" fillId="2" borderId="103" xfId="0" applyFont="1" applyFill="1" applyBorder="1" applyAlignment="1">
      <alignment horizontal="center" vertical="center"/>
    </xf>
    <xf numFmtId="0" fontId="6" fillId="2" borderId="104" xfId="0" applyFont="1" applyFill="1" applyBorder="1" applyAlignment="1">
      <alignment horizontal="center" vertical="center"/>
    </xf>
    <xf numFmtId="0" fontId="0" fillId="0" borderId="109" xfId="0" applyBorder="1" applyAlignment="1">
      <alignment horizontal="left" vertical="center" wrapText="1"/>
    </xf>
    <xf numFmtId="0" fontId="0" fillId="0" borderId="112" xfId="0" applyBorder="1" applyAlignment="1">
      <alignment horizontal="left" vertical="center" wrapText="1"/>
    </xf>
    <xf numFmtId="0" fontId="6" fillId="2" borderId="5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58" xfId="0" applyFont="1" applyFill="1" applyBorder="1" applyAlignment="1">
      <alignment horizontal="center" vertical="center"/>
    </xf>
    <xf numFmtId="0" fontId="6" fillId="2" borderId="1" xfId="0" applyFont="1" applyFill="1" applyBorder="1" applyAlignment="1">
      <alignment horizontal="center" vertical="center"/>
    </xf>
    <xf numFmtId="164" fontId="7" fillId="2" borderId="53" xfId="1" applyNumberFormat="1" applyFont="1" applyFill="1" applyBorder="1" applyAlignment="1">
      <alignment horizontal="center" vertical="center" wrapText="1"/>
    </xf>
    <xf numFmtId="164" fontId="7" fillId="2" borderId="59" xfId="1"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57" xfId="0" applyBorder="1" applyAlignment="1">
      <alignment horizontal="left" vertical="center" wrapText="1"/>
    </xf>
    <xf numFmtId="0" fontId="0" fillId="0" borderId="26" xfId="0" applyBorder="1" applyAlignment="1">
      <alignment horizontal="left" vertical="center" wrapText="1"/>
    </xf>
    <xf numFmtId="0" fontId="0" fillId="0" borderId="62" xfId="0" applyBorder="1" applyAlignment="1">
      <alignment horizontal="left" vertical="center" wrapText="1"/>
    </xf>
    <xf numFmtId="0" fontId="0" fillId="5" borderId="46" xfId="0" applyFill="1" applyBorder="1" applyAlignment="1">
      <alignment horizontal="left" vertical="center"/>
    </xf>
    <xf numFmtId="0" fontId="0" fillId="5" borderId="47" xfId="0" applyFill="1" applyBorder="1" applyAlignment="1">
      <alignment horizontal="left" vertical="center"/>
    </xf>
    <xf numFmtId="0" fontId="25" fillId="2" borderId="58" xfId="6" applyFont="1" applyFill="1" applyBorder="1" applyAlignment="1">
      <alignment horizontal="center" vertical="center" wrapText="1"/>
    </xf>
    <xf numFmtId="0" fontId="1" fillId="2" borderId="41" xfId="0" applyFont="1" applyFill="1" applyBorder="1" applyAlignment="1">
      <alignment wrapText="1"/>
    </xf>
    <xf numFmtId="0" fontId="1" fillId="2" borderId="1" xfId="0" applyFont="1" applyFill="1" applyBorder="1" applyAlignment="1">
      <alignment wrapText="1"/>
    </xf>
    <xf numFmtId="0" fontId="1" fillId="2" borderId="53" xfId="0" applyFont="1" applyFill="1" applyBorder="1" applyAlignment="1">
      <alignment wrapText="1"/>
    </xf>
    <xf numFmtId="0" fontId="1" fillId="2" borderId="43" xfId="0" applyFont="1" applyFill="1" applyBorder="1" applyAlignment="1">
      <alignment wrapText="1"/>
    </xf>
    <xf numFmtId="0" fontId="1" fillId="2" borderId="59" xfId="0" applyFont="1" applyFill="1" applyBorder="1" applyAlignment="1">
      <alignment wrapText="1"/>
    </xf>
    <xf numFmtId="0" fontId="33" fillId="0" borderId="0" xfId="7" applyFont="1" applyAlignment="1">
      <alignment horizontal="left" vertical="center" wrapText="1"/>
    </xf>
    <xf numFmtId="0" fontId="42" fillId="0" borderId="0" xfId="7" applyFont="1" applyAlignment="1">
      <alignment horizontal="left" vertical="top" wrapText="1"/>
    </xf>
    <xf numFmtId="0" fontId="56" fillId="0" borderId="74" xfId="0" applyFont="1" applyBorder="1" applyAlignment="1">
      <alignment horizontal="center" vertical="center"/>
    </xf>
    <xf numFmtId="0" fontId="30" fillId="0" borderId="0" xfId="7" applyAlignment="1">
      <alignment horizontal="left" wrapText="1"/>
    </xf>
    <xf numFmtId="0" fontId="25" fillId="2" borderId="2" xfId="6" applyFont="1" applyFill="1" applyBorder="1" applyAlignment="1">
      <alignment horizontal="center" vertical="center" wrapText="1"/>
    </xf>
    <xf numFmtId="0" fontId="25" fillId="2" borderId="3" xfId="6" applyFont="1" applyFill="1" applyBorder="1" applyAlignment="1">
      <alignment horizontal="center" vertical="center" wrapText="1"/>
    </xf>
  </cellXfs>
  <cellStyles count="10">
    <cellStyle name="Comma" xfId="1" builtinId="3"/>
    <cellStyle name="Currency" xfId="2" builtinId="4"/>
    <cellStyle name="Good" xfId="5" builtinId="26"/>
    <cellStyle name="Normal" xfId="0" builtinId="0"/>
    <cellStyle name="Normal 10 2" xfId="4"/>
    <cellStyle name="Normal 2" xfId="7"/>
    <cellStyle name="Normal 4 2" xfId="9"/>
    <cellStyle name="Normal 5" xfId="8"/>
    <cellStyle name="Normal_Revised Exhibit 1_021810_Eberts" xfId="6"/>
    <cellStyle name="Percent" xfId="3" builtinId="5"/>
  </cellStyles>
  <dxfs count="1">
    <dxf>
      <fill>
        <patternFill>
          <bgColor theme="7"/>
        </patternFill>
      </fill>
    </dxf>
  </dxfs>
  <tableStyles count="0" defaultTableStyle="TableStyleMedium2" defaultPivotStyle="PivotStyleLight16"/>
  <colors>
    <mruColors>
      <color rgb="FF934BC9"/>
      <color rgb="FFD4AB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1.xml"/><Relationship Id="rId21" Type="http://schemas.openxmlformats.org/officeDocument/2006/relationships/externalLink" Target="externalLinks/externalLink6.xml"/><Relationship Id="rId42" Type="http://schemas.openxmlformats.org/officeDocument/2006/relationships/externalLink" Target="externalLinks/externalLink27.xml"/><Relationship Id="rId47" Type="http://schemas.openxmlformats.org/officeDocument/2006/relationships/externalLink" Target="externalLinks/externalLink32.xml"/><Relationship Id="rId63" Type="http://schemas.openxmlformats.org/officeDocument/2006/relationships/externalLink" Target="externalLinks/externalLink48.xml"/><Relationship Id="rId68" Type="http://schemas.openxmlformats.org/officeDocument/2006/relationships/externalLink" Target="externalLinks/externalLink53.xml"/><Relationship Id="rId2" Type="http://schemas.openxmlformats.org/officeDocument/2006/relationships/worksheet" Target="worksheets/sheet2.xml"/><Relationship Id="rId16" Type="http://schemas.openxmlformats.org/officeDocument/2006/relationships/externalLink" Target="externalLinks/externalLink1.xml"/><Relationship Id="rId29" Type="http://schemas.openxmlformats.org/officeDocument/2006/relationships/externalLink" Target="externalLinks/externalLink14.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externalLink" Target="externalLinks/externalLink25.xml"/><Relationship Id="rId45" Type="http://schemas.openxmlformats.org/officeDocument/2006/relationships/externalLink" Target="externalLinks/externalLink30.xml"/><Relationship Id="rId53" Type="http://schemas.openxmlformats.org/officeDocument/2006/relationships/externalLink" Target="externalLinks/externalLink38.xml"/><Relationship Id="rId58" Type="http://schemas.openxmlformats.org/officeDocument/2006/relationships/externalLink" Target="externalLinks/externalLink43.xml"/><Relationship Id="rId66" Type="http://schemas.openxmlformats.org/officeDocument/2006/relationships/externalLink" Target="externalLinks/externalLink51.xml"/><Relationship Id="rId74"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externalLink" Target="externalLinks/externalLink46.xml"/><Relationship Id="rId19" Type="http://schemas.openxmlformats.org/officeDocument/2006/relationships/externalLink" Target="externalLinks/externalLink4.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externalLink" Target="externalLinks/externalLink28.xml"/><Relationship Id="rId48" Type="http://schemas.openxmlformats.org/officeDocument/2006/relationships/externalLink" Target="externalLinks/externalLink33.xml"/><Relationship Id="rId56" Type="http://schemas.openxmlformats.org/officeDocument/2006/relationships/externalLink" Target="externalLinks/externalLink41.xml"/><Relationship Id="rId64" Type="http://schemas.openxmlformats.org/officeDocument/2006/relationships/externalLink" Target="externalLinks/externalLink49.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36.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46" Type="http://schemas.openxmlformats.org/officeDocument/2006/relationships/externalLink" Target="externalLinks/externalLink31.xml"/><Relationship Id="rId59" Type="http://schemas.openxmlformats.org/officeDocument/2006/relationships/externalLink" Target="externalLinks/externalLink44.xml"/><Relationship Id="rId67" Type="http://schemas.openxmlformats.org/officeDocument/2006/relationships/externalLink" Target="externalLinks/externalLink52.xml"/><Relationship Id="rId20" Type="http://schemas.openxmlformats.org/officeDocument/2006/relationships/externalLink" Target="externalLinks/externalLink5.xml"/><Relationship Id="rId41" Type="http://schemas.openxmlformats.org/officeDocument/2006/relationships/externalLink" Target="externalLinks/externalLink26.xml"/><Relationship Id="rId54" Type="http://schemas.openxmlformats.org/officeDocument/2006/relationships/externalLink" Target="externalLinks/externalLink39.xml"/><Relationship Id="rId62" Type="http://schemas.openxmlformats.org/officeDocument/2006/relationships/externalLink" Target="externalLinks/externalLink47.xml"/><Relationship Id="rId70" Type="http://schemas.openxmlformats.org/officeDocument/2006/relationships/styles" Target="styles.xml"/><Relationship Id="rId75"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49" Type="http://schemas.openxmlformats.org/officeDocument/2006/relationships/externalLink" Target="externalLinks/externalLink34.xml"/><Relationship Id="rId57" Type="http://schemas.openxmlformats.org/officeDocument/2006/relationships/externalLink" Target="externalLinks/externalLink42.xml"/><Relationship Id="rId10" Type="http://schemas.openxmlformats.org/officeDocument/2006/relationships/worksheet" Target="worksheets/sheet10.xml"/><Relationship Id="rId31" Type="http://schemas.openxmlformats.org/officeDocument/2006/relationships/externalLink" Target="externalLinks/externalLink16.xml"/><Relationship Id="rId44" Type="http://schemas.openxmlformats.org/officeDocument/2006/relationships/externalLink" Target="externalLinks/externalLink29.xml"/><Relationship Id="rId52" Type="http://schemas.openxmlformats.org/officeDocument/2006/relationships/externalLink" Target="externalLinks/externalLink37.xml"/><Relationship Id="rId60" Type="http://schemas.openxmlformats.org/officeDocument/2006/relationships/externalLink" Target="externalLinks/externalLink45.xml"/><Relationship Id="rId65" Type="http://schemas.openxmlformats.org/officeDocument/2006/relationships/externalLink" Target="externalLinks/externalLink50.xml"/><Relationship Id="rId73"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3.xml"/><Relationship Id="rId39" Type="http://schemas.openxmlformats.org/officeDocument/2006/relationships/externalLink" Target="externalLinks/externalLink24.xml"/><Relationship Id="rId34" Type="http://schemas.openxmlformats.org/officeDocument/2006/relationships/externalLink" Target="externalLinks/externalLink19.xml"/><Relationship Id="rId50" Type="http://schemas.openxmlformats.org/officeDocument/2006/relationships/externalLink" Target="externalLinks/externalLink35.xml"/><Relationship Id="rId55" Type="http://schemas.openxmlformats.org/officeDocument/2006/relationships/externalLink" Target="externalLinks/externalLink40.xml"/><Relationship Id="rId7" Type="http://schemas.openxmlformats.org/officeDocument/2006/relationships/worksheet" Target="worksheets/sheet7.xml"/><Relationship Id="rId71"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YTD Performance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'Tables 2-6'!$M$1:$N$1</c:f>
              <c:strCache>
                <c:ptCount val="2"/>
                <c:pt idx="0">
                  <c:v>Annual Energy Savings</c:v>
                </c:pt>
                <c:pt idx="1">
                  <c:v>Expenditures</c:v>
                </c:pt>
              </c:strCache>
            </c:strRef>
          </c:cat>
          <c:val>
            <c:numRef>
              <c:f>'Tables 2-6'!$M$3:$N$3</c:f>
              <c:numCache>
                <c:formatCode>0%</c:formatCode>
                <c:ptCount val="2"/>
                <c:pt idx="0">
                  <c:v>1.1756298786114594</c:v>
                </c:pt>
                <c:pt idx="1">
                  <c:v>0.54035077872057702</c:v>
                </c:pt>
              </c:numCache>
            </c:numRef>
          </c:val>
          <c:extLst>
            <c:ext xmlns:c16="http://schemas.microsoft.com/office/drawing/2014/chart" uri="{C3380CC4-5D6E-409C-BE32-E72D297353CC}">
              <c16:uniqueId val="{00000000-3354-445B-B2E5-F8F3DDA801A2}"/>
            </c:ext>
          </c:extLst>
        </c:ser>
        <c:dLbls>
          <c:dLblPos val="outEnd"/>
          <c:showLegendKey val="0"/>
          <c:showVal val="1"/>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30992"/>
        <c:crosses val="autoZero"/>
        <c:auto val="1"/>
        <c:lblAlgn val="ctr"/>
        <c:lblOffset val="100"/>
        <c:noMultiLvlLbl val="0"/>
      </c:catAx>
      <c:valAx>
        <c:axId val="189463099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226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'AP F - Secondary Metrics'!$H$5:$I$5</c:f>
              <c:strCache>
                <c:ptCount val="2"/>
                <c:pt idx="0">
                  <c:v>Primary Metrics - 2020/21  TRM</c:v>
                </c:pt>
                <c:pt idx="1">
                  <c:v>Secondary Metrics - 2022 TRM</c:v>
                </c:pt>
              </c:strCache>
            </c:strRef>
          </c:cat>
          <c:val>
            <c:numRef>
              <c:f>'AP F - Secondary Metrics'!$H$6:$I$6</c:f>
              <c:numCache>
                <c:formatCode>_(* #,##0_);_(* \(#,##0\);_(* "-"??_);_(@_)</c:formatCode>
                <c:ptCount val="2"/>
                <c:pt idx="0">
                  <c:v>68765.679899999988</c:v>
                </c:pt>
                <c:pt idx="1">
                  <c:v>54839.80298</c:v>
                </c:pt>
              </c:numCache>
            </c:numRef>
          </c:val>
          <c:extLst>
            <c:ext xmlns:c16="http://schemas.microsoft.com/office/drawing/2014/chart" uri="{C3380CC4-5D6E-409C-BE32-E72D297353CC}">
              <c16:uniqueId val="{00000000-332D-4433-B141-5880F37E1C68}"/>
            </c:ext>
          </c:extLst>
        </c:ser>
        <c:dLbls>
          <c:dLblPos val="outEnd"/>
          <c:showLegendKey val="0"/>
          <c:showVal val="1"/>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11</xdr:col>
      <xdr:colOff>717549</xdr:colOff>
      <xdr:row>5</xdr:row>
      <xdr:rowOff>224897</xdr:rowOff>
    </xdr:from>
    <xdr:to>
      <xdr:col>19</xdr:col>
      <xdr:colOff>375707</xdr:colOff>
      <xdr:row>21</xdr:row>
      <xdr:rowOff>296333</xdr:rowOff>
    </xdr:to>
    <xdr:graphicFrame macro="">
      <xdr:nvGraphicFramePr>
        <xdr:cNvPr id="3" name="Chart 1">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609599</xdr:colOff>
      <xdr:row>8</xdr:row>
      <xdr:rowOff>161926</xdr:rowOff>
    </xdr:from>
    <xdr:to>
      <xdr:col>15</xdr:col>
      <xdr:colOff>285750</xdr:colOff>
      <xdr:row>22</xdr:row>
      <xdr:rowOff>152401</xdr:rowOff>
    </xdr:to>
    <xdr:graphicFrame macro="">
      <xdr:nvGraphicFramePr>
        <xdr:cNvPr id="5"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xeloncorp.sharepoint.com/04230/2000welf/othsys/boutinp/PCCsProvisions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Budget-Accounting\0901%20Close\VPS_0901_Close\Sep_01_FinReview_Presentat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exeloncorp.sharepoint.com/2005%20Reporting%20Requirements/Apr/MFR%20_%20Leadership%20Deck/MFR%20Views%20-%20EED%20O&amp;M%20(BSC-TFP-Passthru)%20V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xeloncorp.sharepoint.com/Documents%20and%20Settings/kosoffr/My%20Documents/Book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Q:\EED\BusinessOps\EED%20Business%20Ops%20(Working)\MFR\May%202005%20Financial%20Reporting\EED%20May%202005%20Support%20Dec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xeloncorp.sharepoint.com/PDelivery/NCRO/Regiondata1/0888_revaccount/Revenue%20Accounting/2020/01%20January/ACE/SSL/eSSL%20v7.3.0%200120%20A.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xeloncorp.sharepoint.com/Documents%20and%20Settings/MOORBP/Local%20Settings/Temporary%20Internet%20Files/OLKC4D/Consolidatd%202007%20-2011%20LRP%20Impact%20Analysis%20_V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xeloncorp.sharepoint.com/cp-wpp-fp13/ud3/JJanocha/2004%20TUB%20Budget/2004%20Financial%20Reporting/September/2004%20TUB%20Forecast%209&amp;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xeloncorp.sharepoint.com/Shared/NEW%20JERSEY%20DEFERRAL%20RECOVERY%20CASE%202002/DEFERRAL%20CASE/Work%20Papers/Janocha%20Work%20Papers/2002-2006%20TUB%20Forecast%20Deferral%20Case%20v0501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exeloncorp.sharepoint.com/FNBNW301/VOL5/74639/98Comp/Adam/Top%20Exec%20Pricing%20-%20Gen%20Ind.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exeloncorp.sharepoint.com/cp-wpp-fp13/ud3/JJanocha/August%202003%20Rate%20Change/BPU%20Deferral%20Order/2003-2007%20TUB%20Forecast%20Deferral%20Case%20v0801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xeloncorp.sharepoint.com/Ard1/DATA/share/DEPT_ALL/MAIER/Monthly%20ACT%20BUD%20Reports/FLEET%2020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exeloncorp.sharepoint.com/JJanocha/2004%20May%20Board%20Retreat/2004-2008%20TUB%20Forecast%20MBR%20v0420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Q:\WINDOWS\Temporary%20Internet%20Files\OLK3180\PECO%2012-31-01%20FRP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Q:\Staff\jdm\misc\2002%202Q\Rptng%20Pkg\June%202002\Exelon%20Consolidated%20EFRP%20June%202002%20Current%2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Q:\PED\Business%20Unit\Planning%20&amp;%20Analysis\Monthly%20Data\2001\Q3%20MFR%20and%20QMM\July%20'Output'%20Files%20and%20Other%20Info\Output%20PECO-08-17-V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exeloncorp.sharepoint.com/Ard1/DATA/share/DEPT_ALL/MAIER/Monthly%20ACT%20BUD%20Reports/VPS%2020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exeloncorp.sharepoint.com/74639/06RET/(751)%20BU%20Allocations/Inactive%20BU%20Allocation%20Codes/Assignment%20of%20Inactive%20BU%20Codes/Active%20and%20Inactive%20Percentages%20-%20Pensio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exeloncorp.sharepoint.com/Pepcoholdings.biz/corpdata/Users/dclemente/Documents/My_Files/Projects/03.Exelon_ESI_Finance/Role_Assignments/BPC_Users_to_Roles_v01-JWS.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Q:\WINDOWS\TEMP\REPORT1.xlr"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exeloncorp.sharepoint.com/Shared/NewJerseyDeferrals/1999%20Deferrals/oct99/OctoberTariff(Ol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exeloncorp.sharepoint.com/Chmclstr2_vol3_server/VOL3/DATA/CORP/CA_CCC/Spreadsheet%20Inventory/Spreadsheet%20Inventory%20Template%20-%20May%2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xeloncorp.sharepoint.com/corpdata/PDelivery/NCRO/Regiondata3/0854_regaffairs/Revenue%20Requirements/Maryland/Maryland%202006%20Base%20Rate%20Filing/Delmarva%20Maryland%206+6%20end%20Sept%2006%20Distrib%20CO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exeloncorp.sharepoint.com/Distribution%20Rate%20Cases/2014%20Formula%20Rate/Data%20Requests/Final/Staff/TEE%207.01/ComEd%202012%20Depr%20Schedules,%2012%202%202013.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Q:\FINANCE\DEPT-TAX\General%20Ledger%20Department\KAH\Credit%20Facility.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Q:\OSTBenchmarkP7FY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exeloncorp.sharepoint.com/74639/07/RET/(850,851,855)%20Combined%20Results/Disclosures/Year%20End%20Disclosure/Templates/Exelon%20FAS%20158%2012.31.2007%20-%20Pension%20Templat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exeloncorp.sharepoint.com/CCCCLSTR2_VOL7_SERVER/VOL7/CA_CCC/Stock%20Options%20-%20FAS%20123R/Budget/2008%20Forecast/FAS%20123R%20Option%20Model%202008%20w_2009%20Forecast.0914vST.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exeloncorp.sharepoint.com/CCCCLSTR2_VOL7_SERVER/VOL7/win32/TEMP/insid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exeloncorp.sharepoint.com/cp-wpp-fp13/ud3/JJanocha/JJanocha/NJ%20Restructuring/2000%20Rates/Rate%20Design/2000%20Rate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S:\DOCUME~1\jollu\LOCALS~1\Temp\2005%20Exelon%20IT%20Programs_EDS040603%20Customer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Documents%20and%20Settings\u999tfe\Desktop\3year\tomFFA%202005-08%20Exelon%20IT%20Programs_Initiativ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exeloncorp.sharepoint.com/G035/REPORTNG/REPORTS/TOTALKW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xeloncorp.sharepoint.com/Lc3msfs01/lc3nwclstr1_vol16/Documents%20and%20Settings/kyeh001/My%20Documents/Agouron/Ready%20for%20Review/Executive%20Summary/california%20Agouron%20Supermodel@10%2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exeloncorp.sharepoint.com/DOCUME~1/ALEMRX/LOCALS~1/TEMP/wz08b9/PECO%20PJM%20Bill%20Analysis%2010%20October%202013%20Actu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exeloncorp.sharepoint.com/Documents%20and%20Settings/alemrx/Local%20Settings/Temporary%20Internet%20Files/Content.Outlook/NEVXPJG3/PJM%20Bill%20Analysis%20March%202014%20Actual.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exeloncorp.sharepoint.com/Users/bednmx/AppData/Local/Microsoft/Windows/Temporary%20Internet%20Files/Content.Outlook/PF2G4DO7/Pgs%20328-330%20PJM%20Bill%20Analysis%20June%202016%20Estimat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exeloncorp.sharepoint.com/DOCUME~1/ALEMRX/LOCALS~1/TEMP/wzc5d8/PECO%20PJM%20Bill%20Analysis%2012%20December%202013%20Actual.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exeloncorp.sharepoint.com/Corporate/2134_10q/Pepco%20Control%20Sheets/Control%20Sheets/control%20sheet%2001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exeloncorp.sharepoint.com/cp-wpp-fp13/ud3/Documents%20and%20Settings/jjanocha/August%202003%20Rate%20Change/Distribution%20Rates/Discovery/NJBPU-S-RD-1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s://exeloncorp.sharepoint.com/FNBNW301/VOL5/STAFF/jdm/misc/2001%202Q/MERGER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exeloncorp.sharepoint.com/Corp1/DATA1/Share/nVision/Pedistr/Balance%20Sheet/2001-8/10200-Balance%20Sheet-Aug-200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exeloncorp.sharepoint.com/CHMCLSTR2_VOL3_SERVER/VOL3/COMP_PLN/Annual%20Incentive/2002%20AIP/AIP%20and%20Merit%20Planning%20for%20band%207%20and%20above%20Enterprises.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exeloncorp.sharepoint.com/FNBNW301/VOL5/STAFF/jdm/KMH/Merge/FERC%20Filing/FERC%20stmts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Documents%20and%20Settings\morrjq\My%20Documents\Project\FFA%202005-08%20Exelon%20IT%20Programs_Initiatives-Joe.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s://exeloncorp.sharepoint.com/Lc3msfs01/lc3nwclstr1_vol16/TEMP/6-09-02SAMPLE%20EXTRAPOLATIO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s://exeloncorp.sharepoint.com/cp-wpp-fp13/ud3/JJanocha/2004%20May%20Board%20Retreat/2004-2008%20TUB%20Forecast%20MBR%20v04200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ttps://exeloncorp.sharepoint.com/74639/07/RET/(751)%20BU%20Allocations/5.%202007%20BU%20Allocation%20Percentages/Allocation%20of%20Forecasted%20Pension%20Costs%202007-2016%20-%20With%20Asset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Q:\EED\BusinessOps\EED%20Business%20Ops%20(Working)\MFR\Apr%202005%20Financial%20Reporting\EED%20Apr%202005%20Support%20Deck.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TEMP\6-09-02SAMPLE%20EXTRAPOLATION.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sites/PHIDSMTeam/Shared%20Documents/ACE%20EE%20Program%20Portfolio/Regulatory%20Compliance%20Filings/Quarterly%20Progress%20Report/PY1%20-%20July%202021%20through%20June%202022/Q4%20-%20April%20through%20June/Final%20Filed%20Versions/Masterdata?5B36EC84" TargetMode="External"/><Relationship Id="rId1" Type="http://schemas.openxmlformats.org/officeDocument/2006/relationships/externalLinkPath" Target="file:///\\5B36EC84\Masterdat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xeloncorp.sharepoint.com/2005%20Budgets/2005%20Khalix%20Budget%20Reports/2005%20CapEx%20(By%20VP%20By%20Dept)%20Budge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Q:\Documents%20and%20Settings\mcmajx\Local%20Settings\Temporary%20Internet%20Files\OLK42C\PECO%20RNF%20Tracking%20Report_February%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RetireeCensus"/>
      <sheetName val="2000PCCs"/>
      <sheetName val="2000PlanProvisions"/>
      <sheetName val="JobDefinition"/>
      <sheetName val="Input"/>
    </sheetNames>
    <sheetDataSet>
      <sheetData sheetId="0" refreshError="1"/>
      <sheetData sheetId="1" refreshError="1"/>
      <sheetData sheetId="2" refreshError="1"/>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CO Bal Sht"/>
      <sheetName val="Assumptions"/>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EED O&amp;M BO data"/>
      <sheetName val="category BO data"/>
      <sheetName val="lookup values"/>
      <sheetName val="BSC TFP Passthru----&gt;"/>
      <sheetName val="TOTAL"/>
      <sheetName val="TOTAL V2"/>
      <sheetName val="TOTAL V3"/>
      <sheetName val="Embedded EED"/>
      <sheetName val="Embedded ComEd"/>
      <sheetName val="Embedded PECO"/>
      <sheetName val="Embedded Commun EED"/>
      <sheetName val="Embedded Commun ComEd"/>
      <sheetName val="Embedded Commun PECO"/>
      <sheetName val="Embedded Finance ComEd"/>
      <sheetName val="Embedded Finance PECO"/>
      <sheetName val="Embedded Finance EED-Sum"/>
      <sheetName val="Embedded Finance ComEd-Sum"/>
      <sheetName val="Embedded Finance PECO-Sum"/>
      <sheetName val="Embedded Finance EED"/>
      <sheetName val="Finance"/>
      <sheetName val="Tax"/>
      <sheetName val="Controller"/>
      <sheetName val="Bank Fees"/>
      <sheetName val="Embedded HR EED"/>
      <sheetName val="Embedded HR ComEd"/>
      <sheetName val="Embedded HR PECO"/>
      <sheetName val="Embedded IT EED"/>
      <sheetName val="Embedded IT ComEd"/>
      <sheetName val="Embedded IT PECO"/>
      <sheetName val="Embedded Legal EED"/>
      <sheetName val="Embedded Legal Summary"/>
      <sheetName val="Embedded Legal ComEd"/>
      <sheetName val="Embedded Legal PECO"/>
      <sheetName val="Embedded Supply EED"/>
      <sheetName val="Embedded Supply ComEd"/>
      <sheetName val="Embedded Supply PECO"/>
      <sheetName val="Corp Allocated EED"/>
      <sheetName val="Corp Allocated ComEd"/>
      <sheetName val="Corp Allocated PECO"/>
      <sheetName val="Transactional EED"/>
      <sheetName val="Transactional ComEd"/>
      <sheetName val="Transactional PECO"/>
      <sheetName val="Transactional---EDSS"/>
      <sheetName val="PECO Bal Sh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ook1"/>
      <sheetName val="#REF"/>
      <sheetName val="all EED O&amp;M BO data"/>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sheetName val="2004 IS Actual"/>
      <sheetName val="2005 IS Plan"/>
      <sheetName val="2005 Actual"/>
      <sheetName val="2005 2+10 LE"/>
      <sheetName val="Blank"/>
      <sheetName val="EED IS"/>
      <sheetName val="EED IS Var B"/>
      <sheetName val="EED IS Var LE"/>
      <sheetName val="Blank1"/>
      <sheetName val="ComEd IS"/>
      <sheetName val="ComEd IS- Var 2 B"/>
      <sheetName val="ComEd IS- Var 2 LE"/>
      <sheetName val="Blank2"/>
      <sheetName val="PECO IS"/>
      <sheetName val="PECO IS- Var 2 B"/>
      <sheetName val="PECO IS- Var 2 LE"/>
      <sheetName val="Blank3"/>
      <sheetName val="EED BS "/>
      <sheetName val="EED BS Var B"/>
      <sheetName val="EED BS Var LE"/>
      <sheetName val="Blank4"/>
      <sheetName val="ComEd BS "/>
      <sheetName val="ComEd BS Var B"/>
      <sheetName val="ComEd BS Var LE"/>
      <sheetName val="Blank5"/>
      <sheetName val="PECO BS "/>
      <sheetName val="PECO BS Var B"/>
      <sheetName val="PECO BS Var LE"/>
      <sheetName val="Blank6"/>
      <sheetName val="EED CFS"/>
      <sheetName val="EED CFS Var B"/>
      <sheetName val="EED CFS Var LE"/>
      <sheetName val="Blank7"/>
      <sheetName val="ComEd CFS"/>
      <sheetName val="ComEd CFS Var B"/>
      <sheetName val="ComEd CFS Var LE"/>
      <sheetName val="Blank8"/>
      <sheetName val="PECO CFS"/>
      <sheetName val="PECO CFS Var B"/>
      <sheetName val="PECO CFS Var LE"/>
      <sheetName val="EED &gt;"/>
      <sheetName val="Blank9"/>
      <sheetName val="Blank10"/>
      <sheetName val="E O&amp;M VP M B"/>
      <sheetName val="E Cap VP M B"/>
      <sheetName val="E O&amp;M VP M LE"/>
      <sheetName val="E Cap VP M  LE"/>
      <sheetName val="E O&amp;M VP YTD B"/>
      <sheetName val="E Cap VP YTD B"/>
      <sheetName val="E O&amp;M VP FY B"/>
      <sheetName val="E Cap VP FY B"/>
      <sheetName val="E O&amp;M VP FY LE"/>
      <sheetName val="E Cap VP FY LE"/>
      <sheetName val="E O&amp;M RR"/>
      <sheetName val="E Cap RR"/>
      <sheetName val="E O&amp;M Category"/>
      <sheetName val="E Capital -Category"/>
      <sheetName val="E-Ops O&amp;M"/>
      <sheetName val="E-Ops O&amp;M R&amp;O"/>
      <sheetName val="E Ops Cap"/>
      <sheetName val="E Ops Cap R&amp;O"/>
      <sheetName val="E-TS O&amp;M"/>
      <sheetName val="E-TS O&amp;M R&amp;O"/>
      <sheetName val="E TS Cap"/>
      <sheetName val="E TS Cap R&amp;O"/>
      <sheetName val="E-C&amp;MS O&amp;M"/>
      <sheetName val="E-C&amp;MS O&amp;M R&amp;O"/>
      <sheetName val="E C&amp;MS Cap"/>
      <sheetName val="E C&amp;MS Cap R&amp;O"/>
      <sheetName val="E-CIMS O&amp;M"/>
      <sheetName val="E CIMS O&amp;M R&amp;O"/>
      <sheetName val="E CIMS Cap"/>
      <sheetName val="E CIMS Cap R&amp;O"/>
      <sheetName val="E-TO O&amp;M"/>
      <sheetName val="E-TO O&amp;M R&amp;O"/>
      <sheetName val="E TO Cap"/>
      <sheetName val="E TO Cap R&amp;O"/>
      <sheetName val="C-OFP O&amp;M"/>
      <sheetName val="C-OFP O&amp;M R&amp;O"/>
      <sheetName val="C OFP Cap"/>
      <sheetName val="C OFP Cap R&amp;O"/>
      <sheetName val="C Post 06 O&amp;M"/>
      <sheetName val="C-Post 06 O&amp;M R&amp;O"/>
      <sheetName val="C Post 06 Cap"/>
      <sheetName val="C Post 06 Cap R&amp;O"/>
      <sheetName val="P-OFP O&amp;M"/>
      <sheetName val="P-OFP O&amp;M R&amp;O"/>
      <sheetName val="P OFP Cap"/>
      <sheetName val="P OFP Cap R&amp;O"/>
      <sheetName val="Functional &gt;&gt;"/>
      <sheetName val="Blank9 (2)"/>
      <sheetName val="TOTAL O&amp;M"/>
      <sheetName val="TOTAL Cap"/>
      <sheetName val="Embedded O&amp;M"/>
      <sheetName val="Embedded Cap"/>
      <sheetName val="Finance-Sum O&amp;M"/>
      <sheetName val="Finance Sum Cap"/>
      <sheetName val="Finance O&amp;M"/>
      <sheetName val="Finance Cap"/>
      <sheetName val="Cont O&amp;M"/>
      <sheetName val="Cont Cap"/>
      <sheetName val="Tax O&amp;M"/>
      <sheetName val="Tax Cap"/>
      <sheetName val="HR O&amp;M"/>
      <sheetName val="Blank12"/>
      <sheetName val="IT O&amp;M"/>
      <sheetName val="IT Cap"/>
      <sheetName val="Legal O&amp;M"/>
      <sheetName val="Blank13"/>
      <sheetName val="Supply O&amp;M"/>
      <sheetName val="Supply Cap"/>
      <sheetName val="Com O&amp;M"/>
      <sheetName val="Blank14"/>
      <sheetName val="Allocated O&amp;M"/>
      <sheetName val="Allocated Cap"/>
      <sheetName val="Transactional"/>
      <sheetName val="ComED &gt;"/>
      <sheetName val="Blank15"/>
      <sheetName val="Blank16"/>
      <sheetName val="C O&amp;M VP M B"/>
      <sheetName val="C Cap VP M B"/>
      <sheetName val="C O&amp;M VP M LE"/>
      <sheetName val="C Cap VP M LE"/>
      <sheetName val="C O&amp;M VP Y B"/>
      <sheetName val="C Cap VP Y B"/>
      <sheetName val="C O&amp;M VP FY B"/>
      <sheetName val="C Cap VP FY B"/>
      <sheetName val="C O&amp;M VP FY LE"/>
      <sheetName val="C Cap VP FY LE"/>
      <sheetName val="C O&amp;M -Category"/>
      <sheetName val="C Capital-Category"/>
      <sheetName val="C Ops O&amp;M"/>
      <sheetName val="C Ops O&amp;M V"/>
      <sheetName val="C Ops Cap"/>
      <sheetName val="C Ops Cap V"/>
      <sheetName val="C-TS O&amp;M"/>
      <sheetName val="C TS O&amp;M V"/>
      <sheetName val="C TS Cap"/>
      <sheetName val="C TS Cap V"/>
      <sheetName val="C-C&amp;MS O&amp;M"/>
      <sheetName val="C C&amp;MS O&amp;M V"/>
      <sheetName val="C C&amp;MS Cap"/>
      <sheetName val="C C&amp;MS Cap V"/>
      <sheetName val="C-TO O&amp;M"/>
      <sheetName val="C TO O&amp;M V"/>
      <sheetName val="C TO Cap"/>
      <sheetName val="C TO Cap V"/>
      <sheetName val="PECO &gt;"/>
      <sheetName val="Blank17"/>
      <sheetName val="P O&amp;M VP M B"/>
      <sheetName val="P Cap VP M B"/>
      <sheetName val="P O&amp;M VP M LE"/>
      <sheetName val="P Cap VP M LE"/>
      <sheetName val="P O&amp;M VP Y B"/>
      <sheetName val="P Cap VP Y B"/>
      <sheetName val="P O&amp;M VP FY B"/>
      <sheetName val="P Cap VP FY B"/>
      <sheetName val="P O&amp;M VP FY LE"/>
      <sheetName val="P Cap M VP FY LE"/>
      <sheetName val="P O&amp;M-Category "/>
      <sheetName val="P Capital Category"/>
      <sheetName val="P-Ops O&amp;M"/>
      <sheetName val="P Ops O&amp;M V"/>
      <sheetName val="P Ops Cap"/>
      <sheetName val="P Ops Cap V"/>
      <sheetName val="P-TS O&amp;M"/>
      <sheetName val="P TS O&amp;M V"/>
      <sheetName val="P TS Cap"/>
      <sheetName val="P TS Cap V"/>
      <sheetName val="P-C&amp;MS O&amp;M"/>
      <sheetName val="P C&amp;MS O&amp;M V"/>
      <sheetName val="P C&amp;MS Cap"/>
      <sheetName val="P C&amp;MS Cap V"/>
      <sheetName val="P-CIMS O&amp;M "/>
      <sheetName val="P CIMS O&amp;M V"/>
      <sheetName val="P CIMS Cap"/>
      <sheetName val="P CIMS Cap V"/>
      <sheetName val="P-TO O&amp;M"/>
      <sheetName val="P TO O&amp;M V"/>
      <sheetName val="P TO Cap"/>
      <sheetName val="P TO Cap V"/>
      <sheetName val="RNF &gt;"/>
      <sheetName val="E Acc"/>
      <sheetName val="C Acc"/>
      <sheetName val="P Acc"/>
      <sheetName val="P Acc Elec"/>
      <sheetName val="P Acc Gas"/>
      <sheetName val="C Cust"/>
      <sheetName val="C Rev"/>
      <sheetName val="C Sales"/>
      <sheetName val="C Rates"/>
      <sheetName val="C PPA Price"/>
      <sheetName val="C PPA Vol"/>
      <sheetName val="C Trans"/>
      <sheetName val="P Elec Cust"/>
      <sheetName val="P Elec Rev"/>
      <sheetName val="P Elec Sales"/>
      <sheetName val="P Elec Rates"/>
      <sheetName val="P Elec PPA Price"/>
      <sheetName val="P Elec PPA Vol"/>
      <sheetName val="P Elec Trans"/>
      <sheetName val="P Gas Cust"/>
      <sheetName val="P Gas Rev"/>
      <sheetName val="P Gas Sales"/>
      <sheetName val="P Gas Rates"/>
      <sheetName val="Other P&amp;L &gt;"/>
      <sheetName val="EED Other Op Rev"/>
      <sheetName val="EED TOTI"/>
      <sheetName val="PECO TOTI"/>
      <sheetName val="ComEd TOTI"/>
      <sheetName val="EED Depr"/>
      <sheetName val="ComEd Depr "/>
      <sheetName val="PECO Depr"/>
      <sheetName val="EED Interest"/>
      <sheetName val="ComEd Interest"/>
      <sheetName val="ComEd Other Op Rev"/>
      <sheetName val="PECO Other Op Rev"/>
      <sheetName val="PECO Interest"/>
      <sheetName val="PECO Taxes"/>
      <sheetName val="Incentive &gt;"/>
      <sheetName val="AIP"/>
      <sheetName val="ENTERPRI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_H"/>
      <sheetName val="ICBTemplate"/>
      <sheetName val="ACESRECADJ"/>
      <sheetName val="RNFZECOVER"/>
      <sheetName val="RNFZECINT"/>
      <sheetName val="RNFSRECINT"/>
      <sheetName val="RNFSRECAC"/>
      <sheetName val="RNFACE494"/>
      <sheetName val="RNFTBCMTT"/>
      <sheetName val="RNFACEDEF"/>
      <sheetName val="RNFLLCINT"/>
      <sheetName val="NRFAINT"/>
      <sheetName val="RNFUNBILL"/>
      <sheetName val="NRFSREC1AM"/>
      <sheetName val="RNFACELOSS"/>
      <sheetName val="RNFAMORTSC"/>
      <sheetName val="RNFSREC1FR"/>
      <sheetName val="Control"/>
      <sheetName val="Template"/>
      <sheetName val="Notes"/>
      <sheetName val="eSSLBufferPtrSheet"/>
      <sheetName val="eSSL v7.3.0 0120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by BU_Acct &amp; Reas Code"/>
      <sheetName val="Summary by BU &amp; Reason Code"/>
      <sheetName val="Summary Account Category by BU"/>
      <sheetName val="Summary by Reason Code "/>
      <sheetName val="Summary Account Category"/>
      <sheetName val="Summary Report by Yr &amp; Category"/>
      <sheetName val="Sum. Rpt by Yr,Cat&amp;Reason Code"/>
      <sheetName val="Summary _New Technology"/>
      <sheetName val="Allocation of Corporate"/>
      <sheetName val="Summay New Tech by BU"/>
      <sheetName val="New Tech by IT Cat &amp; BU"/>
      <sheetName val="Valid Table Values"/>
      <sheetName val="New Technology by IT Category"/>
      <sheetName val="New Technology_2007"/>
      <sheetName val="New Technology_2008"/>
      <sheetName val="New Technology_2009"/>
      <sheetName val="New Technology_2010"/>
      <sheetName val="New Technology_2011"/>
      <sheetName val="Allocation to Projects"/>
      <sheetName val="Existing Technology_Price"/>
      <sheetName val="Existing Technology_Volume"/>
      <sheetName val="Internal Transfers"/>
      <sheetName val="External Transfers"/>
      <sheetName val="Input Section"/>
      <sheetName val="Reason Code Examples"/>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ferral Forecast"/>
      <sheetName val="Income Statement"/>
      <sheetName val="UBR Forecast"/>
      <sheetName val="Income Statement 9&amp;3"/>
      <sheetName val="Bonds Summary"/>
      <sheetName val="ACE LLC Detail Income Statement"/>
      <sheetName val="JFJ-1 Deferral Recovery Rate"/>
      <sheetName val="JFJ-2 NNC Rates"/>
      <sheetName val="JFJ-3 MTC Rate"/>
      <sheetName val="JFJ-4 CEP Rate"/>
      <sheetName val="JFJ-5 USF Rate"/>
      <sheetName val="TBC Rate Summary"/>
      <sheetName val="BGS Deferral"/>
      <sheetName val="NNC Deferral"/>
      <sheetName val="MTC Deferral"/>
      <sheetName val="SBC Deferral"/>
      <sheetName val="DSM August 1999 - July 2003"/>
      <sheetName val="Deferral Balances"/>
      <sheetName val="Interest Calc"/>
      <sheetName val="TUB Rate Summary"/>
      <sheetName val="NNC Rates 2002-2003"/>
      <sheetName val="2002 - 2007 BGS FP Costs"/>
      <sheetName val="Keystone Swap Amort Sched"/>
      <sheetName val="Restructuring Amort."/>
      <sheetName val="ACE 25 Year Sales Forecast"/>
      <sheetName val="BL England Rev Req"/>
      <sheetName val="Keystone Rev Req"/>
      <sheetName val="Conemaugh Rev Req"/>
      <sheetName val="Generation Summary"/>
      <sheetName val="taxes"/>
      <sheetName val="OTRA Discounts"/>
      <sheetName val="Deferral Securitization"/>
      <sheetName val="Debt Design"/>
      <sheetName val="TBC Development"/>
      <sheetName val="MTC -Tax Development"/>
      <sheetName val="Budget Summary"/>
      <sheetName val="ACE TUB - Monthly Summary"/>
      <sheetName val="TUB OTHER"/>
      <sheetName val="TUB ACE xd"/>
      <sheetName val="ACE FUND"/>
      <sheetName val="Amort Summary"/>
    </sheetNames>
    <sheetDataSet>
      <sheetData sheetId="0" refreshError="1"/>
      <sheetData sheetId="1"/>
      <sheetData sheetId="2"/>
      <sheetData sheetId="3"/>
      <sheetData sheetId="4"/>
      <sheetData sheetId="5"/>
      <sheetData sheetId="6"/>
      <sheetData sheetId="7" refreshError="1"/>
      <sheetData sheetId="8"/>
      <sheetData sheetId="9"/>
      <sheetData sheetId="10" refreshError="1"/>
      <sheetData sheetId="11"/>
      <sheetData sheetId="12" refreshError="1"/>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JFJ-1 Deferral Recovery Rate"/>
      <sheetName val="JFJ-2 NNC Rates"/>
      <sheetName val="JFJ-3 MTC Rate"/>
      <sheetName val="JFJ-4 CEP Rate"/>
      <sheetName val="JFJ-5 USF Rate"/>
      <sheetName val="JFJ-6 CRA Rate"/>
      <sheetName val="JFJ-7 2003 Rate Impact Summary"/>
      <sheetName val="Deferral Forecast"/>
      <sheetName val="BGS Deferral"/>
      <sheetName val="NNC Deferral"/>
      <sheetName val="MTC Deferral"/>
      <sheetName val="SBC Deferral"/>
      <sheetName val="DSM August 1999 - July 2003"/>
      <sheetName val="Deferral Balances"/>
      <sheetName val="Interest Calc"/>
      <sheetName val="Income Statement"/>
      <sheetName val="TUB Rate Summary"/>
      <sheetName val="NNC Rates 2002-2003"/>
      <sheetName val="Reg Asset Rates"/>
      <sheetName val="2002 Reg Asset Rate"/>
      <sheetName val="TBC Rate"/>
      <sheetName val="2002 - 2007 Load Weighted LMP"/>
      <sheetName val="Shopping Credit Table"/>
      <sheetName val="BGS Rates"/>
      <sheetName val="BGS NUG Rates"/>
      <sheetName val="2000 Generation Results"/>
      <sheetName val="Generation Results 6101"/>
      <sheetName val="Generation Results 7-2-01"/>
      <sheetName val="GRFT Amortization"/>
      <sheetName val="Keystone Swap Amort Sched"/>
      <sheetName val="Updated Stranded Cost Principal"/>
      <sheetName val="ACE 25 Year Sales Forecast"/>
      <sheetName val="2002 Sales"/>
      <sheetName val="2003 Sales"/>
      <sheetName val="2004 Sales"/>
      <sheetName val="2005 Sales"/>
      <sheetName val="2006 Sales"/>
      <sheetName val="PJM Capacity Obligation"/>
      <sheetName val="2001 ACE Ancillary Services"/>
      <sheetName val="BGS Admin Forecast"/>
      <sheetName val="Bidder Response Form"/>
      <sheetName val="2002 Generation Results"/>
      <sheetName val="10-25-01 NUG Update"/>
      <sheetName val="ACE Unit 10-25-01 Update"/>
      <sheetName val="ACE Unit 11-09-01 Update"/>
      <sheetName val="Congestion-DA"/>
      <sheetName val="Peach Bottom Rev Req"/>
      <sheetName val="Salem Rev Req"/>
      <sheetName val="Hope Creek Rev Req"/>
      <sheetName val="BL England Rev Req"/>
      <sheetName val="BLE 2002 Budget"/>
      <sheetName val="Keystone Rev Req"/>
      <sheetName val="Conemaugh Rev Req"/>
      <sheetName val="MTC Return"/>
      <sheetName val="taxes"/>
      <sheetName val="SAP Upload Support"/>
      <sheetName val="OTRA Discounts"/>
      <sheetName val="5 YearUpdated4-24-02"/>
      <sheetName val="2002 Budget Revenues"/>
      <sheetName val="2001 Budget Revenues"/>
      <sheetName val="Rate Component Matrix"/>
      <sheetName val="Pepco_Billed"/>
      <sheetName val="Pepco_Net UnBilled"/>
      <sheetName val="TBC Rate Summary"/>
      <sheetName val="Restructuring Amort."/>
      <sheetName val="2002 - 2007 BGS FP Costs"/>
      <sheetName val="PRISM Impacts Inpu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Sheet"/>
      <sheetName val="Report "/>
      <sheetName val="98LTIP&lt;500m"/>
      <sheetName val="98LTIP500m-1b"/>
      <sheetName val="98LTIP1b-3b"/>
      <sheetName val="98LTIP3b-6b"/>
      <sheetName val="98LTIP6b-10b"/>
      <sheetName val="98LTIP&gt;10b"/>
      <sheetName val="98LTIPALL"/>
      <sheetName val="97LTIPBank"/>
      <sheetName val="97LTIPIns"/>
      <sheetName val="97LTIPFinAll"/>
      <sheetName val="Main Menu"/>
      <sheetName val="Instructions"/>
      <sheetName val="Author"/>
      <sheetName val="Template Management"/>
      <sheetName val="Data"/>
      <sheetName val="Footnotes"/>
      <sheetName val="Black-Scholes Inputs"/>
      <sheetName val="Risk-free Rates"/>
      <sheetName val="Stock Options"/>
      <sheetName val="Restricted Shares"/>
      <sheetName val="Performance Plan"/>
      <sheetName val="Peer Group"/>
      <sheetName val="Print Menu"/>
      <sheetName val="BS Listings - Helen"/>
      <sheetName val="HardCoded Data"/>
      <sheetName val="HardCoded Data (2)"/>
      <sheetName val="Financia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Capital Structure"/>
      <sheetName val="Deferral Forecast"/>
      <sheetName val="Revenue Requirements Summary"/>
      <sheetName val="750kW Bill Comparison"/>
      <sheetName val="Income Statement"/>
      <sheetName val="JFJ-1 Deferral Recovery Rate"/>
      <sheetName val="JFJ-2 NNC Rates"/>
      <sheetName val="JFJ-3 MTC Rate"/>
      <sheetName val="JFJ-4 CEP Rate"/>
      <sheetName val="JFJ-5 USF Rate"/>
      <sheetName val="JFJ-6 CRA Rate"/>
      <sheetName val="JFJ-7 2003 Rate Impact Summary"/>
      <sheetName val="SBC Over Recovery Amort"/>
      <sheetName val="TBC Rate Summary"/>
      <sheetName val="BGS Deferral"/>
      <sheetName val="NNC Deferral"/>
      <sheetName val="SBC Deferral"/>
      <sheetName val="MTC Deferral"/>
      <sheetName val="DSM August 1999 - July 2003"/>
      <sheetName val="Deferral Balances"/>
      <sheetName val="Interest Calc"/>
      <sheetName val="TUB Rate Summary"/>
      <sheetName val="NNC Rates 2002-2003"/>
      <sheetName val="Reg Asset Rates"/>
      <sheetName val="2002 Reg Asset Rate"/>
      <sheetName val="2002 - 2007 BGS FP Costs"/>
      <sheetName val="Shopping Credit Table"/>
      <sheetName val="BGS Rates"/>
      <sheetName val="BGS NUG Rates"/>
      <sheetName val="Generation Results 7-2-01"/>
      <sheetName val="GRFT Amortization"/>
      <sheetName val="Keystone Swap Amort Sched"/>
      <sheetName val="ACE 25 Year Sales Forecast"/>
      <sheetName val="2002 Sales"/>
      <sheetName val="2003 Sales"/>
      <sheetName val="2004 Sales"/>
      <sheetName val="2005 Sales"/>
      <sheetName val="2006 Sales"/>
      <sheetName val="PJM Capacity Obligation"/>
      <sheetName val="2001 ACE Ancillary Services"/>
      <sheetName val="BGS Admin Forecast"/>
      <sheetName val="Bidder Response Form"/>
      <sheetName val="2002 Generation Results"/>
      <sheetName val="10-25-01 NUG Update"/>
      <sheetName val="ACE Unit 10-25-01 Update"/>
      <sheetName val="ACE Unit 11-09-01 Update"/>
      <sheetName val="Congestion-DA"/>
      <sheetName val="Peach Bottom Rev Req"/>
      <sheetName val="Salem Rev Req"/>
      <sheetName val="Hope Creek Rev Req"/>
      <sheetName val="BL England Rev Req"/>
      <sheetName val="Keystone Rev Req"/>
      <sheetName val="Conemaugh Rev Req"/>
      <sheetName val="taxes"/>
      <sheetName val="MTC Return"/>
      <sheetName val="SAP Upload Support"/>
      <sheetName val="OTRA Discounts"/>
      <sheetName val="5 YearUpdated4-24-02"/>
      <sheetName val="2002 Budget Revenues"/>
      <sheetName val="2001 Budget Revenues"/>
      <sheetName val="Rate Component Matrix"/>
      <sheetName val="Pepco_Billed"/>
      <sheetName val="Pepco_Net UnBilled"/>
      <sheetName val="Monthly Bill Data"/>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refreshError="1"/>
      <sheetData sheetId="17"/>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 CAP"/>
      <sheetName val="Smartview"/>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ferral Forecast"/>
      <sheetName val="Income Statement"/>
      <sheetName val="Income Statement UI Interest"/>
      <sheetName val="Bonds Summary"/>
      <sheetName val="ACE LLC Detail Income Statement"/>
      <sheetName val="IS - Reserve for Restrct. amort"/>
      <sheetName val="Income Statement New Unbilled"/>
      <sheetName val="Income Statement New UBR TBC"/>
      <sheetName val="JFJ-1 Deferral Recovery Rate"/>
      <sheetName val="JFJ-2 NNC Rates"/>
      <sheetName val="JFJ-3 MTC Rate"/>
      <sheetName val="JFJ-4 CEP Rate"/>
      <sheetName val="JFJ-5 USF Rate"/>
      <sheetName val="JFJ-6 CRA Rate"/>
      <sheetName val="JFJ-7 2003 Rate Impact Summary"/>
      <sheetName val="SBC Over Recovery Amort"/>
      <sheetName val="TBC Rate Summary"/>
      <sheetName val="BGS Deferral"/>
      <sheetName val="NNC Deferral"/>
      <sheetName val="MTC Deferral"/>
      <sheetName val="SBC Deferral"/>
      <sheetName val="DSM August 1999 - July 2003"/>
      <sheetName val="Deferral Balances"/>
      <sheetName val="Interest Calc"/>
      <sheetName val="TUB Rate Summary"/>
      <sheetName val="NNC Rates 2002-2003"/>
      <sheetName val="2002 Reg Asset Rate"/>
      <sheetName val="2002 - 2007 BGS FP Costs"/>
      <sheetName val="BGS Rates"/>
      <sheetName val="Keystone Swap Amort Sched"/>
      <sheetName val="Restructuring Amort."/>
      <sheetName val="ACE 25 Year Sales Forecast"/>
      <sheetName val="PJM Capacity Obligation"/>
      <sheetName val="BL England Rev Req"/>
      <sheetName val="Keystone Rev Req"/>
      <sheetName val="Conemaugh Rev Req"/>
      <sheetName val="Generation Summary"/>
      <sheetName val="taxes"/>
      <sheetName val="SAP Upload Support"/>
      <sheetName val="OTRA Discounts"/>
      <sheetName val="Deferral Securitization"/>
      <sheetName val="Debt Design"/>
      <sheetName val="TBC Development"/>
      <sheetName val="MTC -Tax Development"/>
      <sheetName val="Budget Summary"/>
      <sheetName val="MTC Return"/>
      <sheetName val="ACE 093002 LT Debt Actual "/>
      <sheetName val="kWh-Mcf"/>
      <sheetName val="Pepco_Billed"/>
      <sheetName val="Pepco_Net UnBill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Table of Contents"/>
      <sheetName val="1-IncStmt-MTH"/>
      <sheetName val="2-IncStmt-QTR"/>
      <sheetName val="3-IncStmt-YTD"/>
      <sheetName val="4-Other Net Detail"/>
      <sheetName val="5-MD&amp;A_EBIT"/>
      <sheetName val="6-not used"/>
      <sheetName val="7-Capital Structure "/>
      <sheetName val="8-Balance Sheet"/>
      <sheetName val="9-Other BS Detail"/>
      <sheetName val="10-Cash Flow Detail"/>
      <sheetName val="11-Summary Cash Flow"/>
      <sheetName val="12-SCF - Other Line Item Detail"/>
      <sheetName val="13-PPE"/>
      <sheetName val="14-Investments"/>
      <sheetName val="15-LTD"/>
      <sheetName val="16-GW Amort and Other Assets"/>
      <sheetName val="17-Equity Rollforward"/>
      <sheetName val="18-Footnote Disclosures"/>
      <sheetName val="19-Schedule II - Valuations"/>
      <sheetName val="20-Statistics -QTR"/>
      <sheetName val="21-Statistics - YTD"/>
      <sheetName val="22-Add'l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Table of Contents"/>
      <sheetName val="1-IncStmt-MTH"/>
      <sheetName val="2-IncStmt-QTR"/>
      <sheetName val="3-IncStmt-YTD"/>
      <sheetName val="4-Other Net Detail"/>
      <sheetName val="5-MD&amp;A_EBIT"/>
      <sheetName val="6-not used"/>
      <sheetName val="7-Capital Structure "/>
      <sheetName val="8-Balance Sheet"/>
      <sheetName val="9-Other BS Detail"/>
      <sheetName val="10-Cash Flow Detail"/>
      <sheetName val="11-Summary Cash Flow"/>
      <sheetName val="Adjusted 2001 Cash Flow "/>
      <sheetName val="Board  Cash Flow"/>
      <sheetName val="12-SCF - Other Line Item Detail"/>
      <sheetName val="13-PPE"/>
      <sheetName val="14-Investments"/>
      <sheetName val="15-LTD"/>
      <sheetName val="16-GW Amort and Other Assets"/>
      <sheetName val="17-Equity Rollforward"/>
      <sheetName val="17a-OCI Roll Support YTD"/>
      <sheetName val="17b-OCI Roll Support QTD"/>
      <sheetName val="18-Footnote Disclosures"/>
      <sheetName val="19-Schedule II - Valuations"/>
      <sheetName val="20-Statistics -QTR"/>
      <sheetName val="21-Statistics - YTD"/>
      <sheetName val="22-Add'l Info"/>
      <sheetName val="23-BS Topsides"/>
      <sheetName val="23-IS Topsides"/>
      <sheetName val="24-BS Reclass-Rounding"/>
      <sheetName val="Statement of Income Variances"/>
      <sheetName val="17a-OCI Roll Support"/>
      <sheetName val="TFI use"/>
      <sheetName val="KP06 CE ATD - $$"/>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Inc"/>
      <sheetName val="Other Budget"/>
      <sheetName val="Other LE"/>
      <sheetName val="3-9 LE"/>
      <sheetName val="6-6 LE"/>
      <sheetName val="7-5 LE"/>
      <sheetName val="Actuals"/>
      <sheetName val="Calculations"/>
      <sheetName val="Var Anal"/>
      <sheetName val="MFR"/>
      <sheetName val="QMM"/>
      <sheetName val="BOD"/>
      <sheetName val="KPIs"/>
      <sheetName val="Module1"/>
      <sheetName val="Module2"/>
      <sheetName val="Module3"/>
      <sheetName val="Module4"/>
      <sheetName val="Module5"/>
      <sheetName val="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 O M"/>
      <sheetName val="BUD O M"/>
      <sheetName val="ACT CAP"/>
      <sheetName val="BUD CAP"/>
      <sheetName val="Calculations"/>
    </sheetNames>
    <sheetDataSet>
      <sheetData sheetId="0" refreshError="1"/>
      <sheetData sheetId="1" refreshError="1"/>
      <sheetData sheetId="2" refreshError="1"/>
      <sheetData sheetId="3" refreshError="1"/>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
      <sheetName val="East"/>
      <sheetName val="Exhibit - No Fossil"/>
      <sheetName val="Exhibit"/>
      <sheetName val="Ratio Summary"/>
      <sheetName val="SAS Results"/>
      <sheetName val="SAP Results"/>
      <sheetName val="CBPP Summary"/>
      <sheetName val="SMRP Results"/>
      <sheetName val="SPBP Results"/>
      <sheetName val="BU Translation"/>
      <sheetName val="Control"/>
    </sheetNames>
    <sheetDataSet>
      <sheetData sheetId="0"/>
      <sheetData sheetId="1"/>
      <sheetData sheetId="2"/>
      <sheetData sheetId="3"/>
      <sheetData sheetId="4"/>
      <sheetData sheetId="5"/>
      <sheetData sheetId="6"/>
      <sheetData sheetId="7" refreshError="1"/>
      <sheetData sheetId="8" refreshError="1"/>
      <sheetData sheetId="9"/>
      <sheetData sheetId="10"/>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Budget System Users"/>
      <sheetName val="Sheet5"/>
      <sheetName val="Sheet2"/>
      <sheetName val="Data List"/>
      <sheetName val="CCTR_Data"/>
      <sheetName val="Data_Tbl"/>
      <sheetName val="Sheet4"/>
      <sheetName val="Walt_CCTR_Detail"/>
    </sheetNames>
    <sheetDataSet>
      <sheetData sheetId="0"/>
      <sheetData sheetId="1"/>
      <sheetData sheetId="2"/>
      <sheetData sheetId="3"/>
      <sheetData sheetId="4"/>
      <sheetData sheetId="5"/>
      <sheetData sheetId="6"/>
      <sheetData sheetId="7"/>
      <sheetData sheetId="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Declarations"/>
      <sheetName val="Report Specific Functions"/>
      <sheetName val="Report Template Module"/>
      <sheetName val="REPORT1"/>
      <sheetName val="REPORT1.xlr"/>
    </sheetNames>
    <definedNames>
      <definedName name="Choose_Prefs"/>
      <definedName name="Refresh_Report"/>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ober Tariff kwh"/>
      <sheetName val="OctoberTariff(Old)"/>
      <sheetName val="#REF"/>
      <sheetName val="LT Debt - Cost Rates"/>
      <sheetName val="COSS Results UNBUNDLED"/>
      <sheetName val="Assumptions"/>
      <sheetName val="BGS Deferral"/>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pplication of Controls"/>
      <sheetName val="Doc &amp; Chg Control Tab Sample 1"/>
      <sheetName val="Doc &amp; Chg Control Tab Sample 2"/>
      <sheetName val="Inventory Request- UPDATED"/>
      <sheetName val="Inventory Request- OLD"/>
      <sheetName val="Categories &amp; Complexity"/>
      <sheetName val="lists"/>
      <sheetName val="Assumptions - In"/>
      <sheetName val="Spreadsheet Inventory Templat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AVG"/>
      <sheetName val="Allocation Factors"/>
      <sheetName val="Rate Base COS"/>
      <sheetName val="Earnings COS "/>
      <sheetName val="Tax Calc - unbundled"/>
      <sheetName val="TAX CALC"/>
      <sheetName val="Tax Data - colored for COS"/>
      <sheetName val="Plt in service"/>
      <sheetName val="Deprec reserve"/>
      <sheetName val="CWIP"/>
      <sheetName val="PHFFU"/>
      <sheetName val="M&amp;S"/>
      <sheetName val="Prepaid Pension"/>
      <sheetName val="Prepaid Insurance"/>
      <sheetName val="ITC Balances"/>
      <sheetName val="Cust Advan+Deposits"/>
      <sheetName val="Earnings"/>
      <sheetName val="Sales &amp; Revenue"/>
      <sheetName val="Other Revenue"/>
      <sheetName val="O&amp;M"/>
      <sheetName val="Depreciation"/>
      <sheetName val="Other Taxes"/>
      <sheetName val="ITC"/>
      <sheetName val="IOCD"/>
      <sheetName val="AFUD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Impact Schedule"/>
      <sheetName val="Impact Schedule_Old"/>
      <sheetName val="Reserve Variance"/>
      <sheetName val="Depr_Lot"/>
      <sheetName val="Control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e Year Credit Facility (2)"/>
      <sheetName val="One Year Credit Facility"/>
      <sheetName val="One Year Credit Facility (2 (3)"/>
      <sheetName val="Three Year Credit Facility"/>
      <sheetName val="FIVE Year Credit Facility"/>
      <sheetName val="Credit Facility.2005"/>
      <sheetName val="Credit Facility.2004"/>
      <sheetName val="Formulas"/>
      <sheetName val="Spreadsheet Changes"/>
      <sheetName val="Credit Facility"/>
      <sheetName val="One Year Credit Facility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Rank2"/>
      <sheetName val="Rank"/>
      <sheetName val="Data DGS"/>
      <sheetName val="DGS"/>
      <sheetName val="CS"/>
      <sheetName val="Data CS"/>
      <sheetName val="PctRev"/>
      <sheetName val="PP"/>
      <sheetName val="Cost"/>
      <sheetName val="Adm"/>
      <sheetName val="HdctBwAvg"/>
      <sheetName val="NR by Cluster"/>
      <sheetName val="Comp"/>
      <sheetName val="Data"/>
      <sheetName val="DataAdm"/>
      <sheetName val="RSF"/>
      <sheetName val="Adm Salary Leveling"/>
      <sheetName val="Tables"/>
      <sheetName val="One Year Credit Facility (2 (3)"/>
      <sheetName val="One Year Credit Facility"/>
      <sheetName val="Three Year Credit Facil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P Funded Status Split PBO"/>
      <sheetName val="SPBP Funded Status Split PBO"/>
      <sheetName val="AMG Funded Status Split PBO"/>
      <sheetName val="ENE Funded Status Split PBO"/>
      <sheetName val="CBPPBU Funded Status Split PBO"/>
      <sheetName val="CBPP Funded Status Split PBO"/>
      <sheetName val="ECRP Funded Status Split PBO"/>
      <sheetName val="East-West Ratio Summary"/>
      <sheetName val="2007 BU FVA, TO, PSC Split"/>
      <sheetName val="2007 BU PBO, SC Split(PreEDSS)"/>
      <sheetName val="2007 BU PBO, SC Split(PostEDSS)"/>
      <sheetName val="BU Ratio Summary"/>
      <sheetName val="Summary of FAS 158 Entries"/>
      <sheetName val="Steps"/>
      <sheetName val="Plans Included"/>
      <sheetName val="change07 by plan"/>
      <sheetName val="nppc 07 by plan"/>
      <sheetName val="Extra Information"/>
      <sheetName val="Output1"/>
      <sheetName val="Output2"/>
      <sheetName val="Output3"/>
      <sheetName val="Output4"/>
      <sheetName val="Output5"/>
      <sheetName val="Output6"/>
      <sheetName val="Output7"/>
      <sheetName va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2008 Budget Option Model"/>
      <sheetName val="2008 Budget Option Model +$2shr"/>
      <sheetName val="2008 Budget Option Model (-$2)"/>
      <sheetName val="2008 Budget Option Model + 15%"/>
      <sheetName val="2008 Budget Option Model (-)15%"/>
      <sheetName val="FRMB MORT BOND 8% 4-01-0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ACT"/>
      <sheetName val="insidenew (2)"/>
      <sheetName val="insidenew"/>
      <sheetName val="inside"/>
      <sheetName val="Oct-00"/>
    </sheetNames>
    <sheetDataSet>
      <sheetData sheetId="0" refreshError="1"/>
      <sheetData sheetId="1" refreshError="1"/>
      <sheetData sheetId="2" refreshError="1"/>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sheetName val="Average Rates"/>
      <sheetName val="Unbund Rev Sum w  Tax &amp; SBC"/>
      <sheetName val="Unbundled Revenue Summary "/>
      <sheetName val="Unbundled Rev Summary with Tax"/>
      <sheetName val="NUG Savings Revenue Proof"/>
      <sheetName val="2000 Target Rates"/>
      <sheetName val="Rate Class Detail"/>
      <sheetName val="Rate Class Detail with Tax"/>
      <sheetName val="BGS 1999"/>
      <sheetName val="BGS 2000"/>
      <sheetName val="BGS Rates"/>
      <sheetName val="Shopping Credit Table"/>
      <sheetName val="Distribution Rates"/>
      <sheetName val="NNC Rates"/>
      <sheetName val="2000 NNC Rate"/>
      <sheetName val="2000 NNC Rate Reduction"/>
      <sheetName val="MTC NNC RATES"/>
      <sheetName val="Regulatory Assets"/>
      <sheetName val="SBC"/>
      <sheetName val="Determinants"/>
      <sheetName val="AGS-TOU Determinants"/>
      <sheetName val="OTRA Discounts"/>
      <sheetName val="Merger &amp; TEFA"/>
      <sheetName val="Bill Impact Analysis"/>
      <sheetName val="2000 Sales"/>
      <sheetName val="2000 TEFA"/>
      <sheetName val="2000 BGS Deferral"/>
      <sheetName val="BGS Ancillary &amp; Admin."/>
      <sheetName val="2000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lon IT SFAs"/>
      <sheetName val="Sheet2"/>
      <sheetName val="Programs &amp; Projects"/>
      <sheetName val="Rates"/>
    </sheetNames>
    <sheetDataSet>
      <sheetData sheetId="0"/>
      <sheetData sheetId="1"/>
      <sheetData sheetId="2"/>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lon IT SFAs"/>
      <sheetName val="Sheet2"/>
      <sheetName val="Programs &amp; Projects"/>
      <sheetName val="Instructions"/>
      <sheetName val="Examples"/>
    </sheetNames>
    <sheetDataSet>
      <sheetData sheetId="0"/>
      <sheetData sheetId="1"/>
      <sheetData sheetId="2"/>
      <sheetData sheetId="3"/>
      <sheetData sheetId="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KWH SOLD"/>
      <sheetName val="PEPCO ONLY"/>
      <sheetName val="UNBILLED KWH"/>
      <sheetName val="FIT LJH"/>
      <sheetName val="summary"/>
      <sheetName val="proforma int"/>
      <sheetName val="fi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Menu"/>
      <sheetName val="Macro Tables"/>
      <sheetName val="Print"/>
      <sheetName val="Exec Summ Grph"/>
      <sheetName val="Model"/>
      <sheetName val="AIRC"/>
      <sheetName val="Gross_Rec"/>
      <sheetName val="Total CA QREs"/>
      <sheetName val="CA Wages"/>
      <sheetName val="QRE's"/>
      <sheetName val="QRE Charts"/>
      <sheetName val="Comparison"/>
      <sheetName val="Sens_Model"/>
      <sheetName val="Sens_G_R"/>
      <sheetName val="Sen_GR_Factor"/>
      <sheetName val="Sens_QRE's"/>
      <sheetName val="Sens_QRE_Factor"/>
      <sheetName val="ORIGINAL CLAIM"/>
      <sheetName val="PHASE II"/>
      <sheetName val="B_U_3"/>
      <sheetName val="B_U_4"/>
      <sheetName val="B_U_5"/>
      <sheetName val="B_U_6"/>
      <sheetName val="B_U_7"/>
      <sheetName val="B_U_8"/>
      <sheetName val="B_U_9"/>
      <sheetName val="B_U_10"/>
      <sheetName val="B_U_11"/>
      <sheetName val="B_U_12"/>
      <sheetName val="B_U_13"/>
      <sheetName val="B_U_14"/>
      <sheetName val="B_U_15"/>
      <sheetName val="B_U_16"/>
      <sheetName val="B_U_17"/>
      <sheetName val="B_U_18"/>
      <sheetName val="B_U_19"/>
      <sheetName val="B_U_20"/>
      <sheetName val="B_U_21"/>
      <sheetName val="B_U_22"/>
      <sheetName val="B_U_23"/>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PJM Statements"/>
      <sheetName val="Instructions"/>
      <sheetName val="PE"/>
      <sheetName val="PERESH"/>
      <sheetName val="PELHR"/>
      <sheetName val="Notes"/>
      <sheetName val="ACTUAL PJM BILLS"/>
      <sheetName val="Load Estimates"/>
      <sheetName val="PERESH Estimate"/>
      <sheetName val="PE Estim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E"/>
      <sheetName val="PERESH"/>
      <sheetName val="PECCES"/>
      <sheetName val="PELHR"/>
      <sheetName val="Notes"/>
      <sheetName val="ACTUAL PJM BILLS"/>
      <sheetName val="Load Estimates"/>
      <sheetName val="PERESH Estimate"/>
      <sheetName val="PE Estimate"/>
      <sheetName val="PECCES Estimate"/>
    </sheetNames>
    <sheetDataSet>
      <sheetData sheetId="0" refreshError="1"/>
      <sheetData sheetId="1" refreshError="1"/>
      <sheetData sheetId="2"/>
      <sheetData sheetId="3"/>
      <sheetData sheetId="4" refreshError="1"/>
      <sheetData sheetId="5" refreshError="1"/>
      <sheetData sheetId="6"/>
      <sheetData sheetId="7"/>
      <sheetData sheetId="8" refreshError="1"/>
      <sheetData sheetId="9" refreshError="1"/>
      <sheetData sheetId="1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E"/>
      <sheetName val="PERESH"/>
      <sheetName val="PENYPA"/>
      <sheetName val="PECCES"/>
      <sheetName val="PERD01"/>
      <sheetName val="PELHR"/>
      <sheetName val="Notes"/>
      <sheetName val="ACTUAL PJM BILLS"/>
      <sheetName val="Load Estimates"/>
      <sheetName val="PE Estimate"/>
      <sheetName val="PENYPA Estimate"/>
      <sheetName val="PERESH Estimate"/>
      <sheetName val="PECCES Estimate"/>
      <sheetName val="PERD01 Estim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PJM Statements"/>
      <sheetName val="Instructions"/>
      <sheetName val="PE"/>
      <sheetName val="PERESH"/>
      <sheetName val="PELHR"/>
      <sheetName val="Notes"/>
      <sheetName val="ACTUAL PJM BILLS"/>
      <sheetName val="Load Estimates"/>
      <sheetName val="PERESH Estimate"/>
      <sheetName val="PE Estimat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
      <sheetName val="ACE LOBs"/>
      <sheetName val="ACE adj"/>
      <sheetName val="DPL"/>
      <sheetName val="DPL CPD"/>
      <sheetName val="DE PLR"/>
      <sheetName val="DPL SOS"/>
      <sheetName val="DPL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 Impact Analysis"/>
      <sheetName val="Monthly Bill Data"/>
      <sheetName val="ListsOfValues"/>
      <sheetName val="DE PLR"/>
      <sheetName val="UNBILLED KWH"/>
      <sheetName val="Assumptions"/>
      <sheetName val="TBC Rate Summary"/>
      <sheetName val="JFJ-4 CEP Rate"/>
      <sheetName val="JFJ-1 Deferral Recovery Rate"/>
      <sheetName val="Restructuring Amort."/>
      <sheetName val="ACE 25 Year Sales Forecast"/>
      <sheetName val="Keystone Swap Amort Sch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d qtr 2000"/>
      <sheetName val="Summary"/>
      <sheetName val="adjustments"/>
      <sheetName val="Fair Value"/>
      <sheetName val="merger related costs"/>
      <sheetName val="JE's"/>
      <sheetName val="Sheet1"/>
      <sheetName val="Nuc FV Dec"/>
      <sheetName val="Goodwill amort"/>
      <sheetName val="PECO Securit Adj"/>
      <sheetName val="chg in acctg prin"/>
      <sheetName val="don't use past here."/>
      <sheetName val="Goodwill"/>
      <sheetName val="PECO stock price"/>
      <sheetName val="UCM Share Repurchase"/>
      <sheetName val="Reg Asset Amort"/>
      <sheetName val="FERC 8K Recon"/>
      <sheetName val="Goodwill (2)"/>
      <sheetName val="MERGER2"/>
      <sheetName val="Oct-00"/>
      <sheetName val="CONSOLIDATING W ADJUSTMENTS"/>
      <sheetName val="mktprice"/>
      <sheetName val="Assumptions"/>
      <sheetName val="State ETR Calc"/>
      <sheetName val="LineItem Data"/>
      <sheetName val="SETUP-Re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odule1"/>
      <sheetName val="2nd qtr 2000"/>
    </sheet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erf Ratings"/>
      <sheetName val="Incentives"/>
      <sheetName val="Goal Results"/>
      <sheetName val="Separations"/>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FI use"/>
      <sheetName val="FERC Stmts"/>
      <sheetName val="UCM Share Repurchase"/>
      <sheetName val="Goodwill"/>
      <sheetName val="available fossil proceeds"/>
      <sheetName val="Div Declared"/>
      <sheetName val="Sheet1"/>
      <sheetName val="SETUP - Review"/>
      <sheetName val="Table of Contents"/>
      <sheetName val="1-IncStmt-MTH"/>
      <sheetName val="1a-IncStmt-MTD Adj"/>
      <sheetName val="2-IncStmt-QTR"/>
      <sheetName val="2b-IncStmt-QTD Adj"/>
      <sheetName val="3-IncStmt-YTD"/>
      <sheetName val="3a-IncStmt-YTD Adj"/>
      <sheetName val="4-Capital Structure"/>
      <sheetName val="5-Balance Sheet"/>
      <sheetName val="5b - Detail of BS Close Entries"/>
      <sheetName val="6-5% Test"/>
      <sheetName val="6a-5% Test Detail"/>
      <sheetName val="7 - Cash Flows Consolidated"/>
      <sheetName val="7a - Cash Flow Summary"/>
      <sheetName val="7b - Cash Flows - ComEd"/>
      <sheetName val="7c - Cash Flows - PECO"/>
      <sheetName val="7d - Cash Flows - Genco"/>
      <sheetName val="7e - Cash Flows - Enterprises"/>
      <sheetName val="7f - Corp BSC"/>
      <sheetName val="8 - PPE"/>
      <sheetName val="9 - Investments"/>
      <sheetName val="10-LTD"/>
      <sheetName val="11-GW Amort and Other Assets"/>
      <sheetName val="12-Equity Rollforward"/>
      <sheetName val="12a- OCI Qtr"/>
      <sheetName val="12b - OCI ytd"/>
      <sheetName val="13 - Footnote disclosures "/>
      <sheetName val="14-Schedule II - Valuations"/>
      <sheetName val="15-Statistics -QTR"/>
      <sheetName val="16-Statistics - YTD"/>
      <sheetName val="17-Add'l Info"/>
      <sheetName val="21-Revised 12.04 BS"/>
      <sheetName val="22 - Revised PY BS"/>
      <sheetName val="23-QTD 2005 DO Summary"/>
      <sheetName val="23a-QTD 2005 DO Detail"/>
      <sheetName val="24-YTD 2005 DO Summary"/>
      <sheetName val="24a-YTD 2005 DO Detail"/>
      <sheetName val="25-QTD 2004 DO Summary"/>
      <sheetName val="25a-QTD 2004 DO Detail"/>
      <sheetName val="26-YTD 2004 DO Summary"/>
      <sheetName val="26a-YTD 2004 DO Detail"/>
      <sheetName val="PETT 1999 A-2 3-1-03"/>
      <sheetName val="PETT 2000 C-1 3-1-10"/>
      <sheetName val="PETT 1999 A-3 3-1-04 Libor"/>
      <sheetName val="PETT 1999 A-4 3-1-05"/>
      <sheetName val="PETT 1999 A-5 9-1-07 Libor"/>
      <sheetName val="PETT 1999 A-6 3-1-07"/>
      <sheetName val="PETT 1999 A-7  9-1-08"/>
      <sheetName val="PETT 2000 B-2 9-1-02"/>
      <sheetName val="PETT 2000 B-3 3-1-09"/>
      <sheetName val="PETT 2000 B-4 9-1-09"/>
      <sheetName val="Wolf Hollow"/>
      <sheetName val="Major Maintenance_without Hud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lon IT SFAs"/>
      <sheetName val="Sheet2"/>
      <sheetName val="Programs &amp; Projects"/>
      <sheetName val="Others"/>
    </sheetNames>
    <sheetDataSet>
      <sheetData sheetId="0"/>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E"/>
      <sheetName val="ATTACHMENT D"/>
      <sheetName val="ATTACHMENT C"/>
      <sheetName val="ATTACHMENT B"/>
      <sheetName val="ATTACHMENT A"/>
      <sheetName val="SUM BY GROUP BY SITE BY YEAR"/>
      <sheetName val="CRC SCENARIO 1"/>
      <sheetName val="CRC SCENARIO 1 (BY SITE)"/>
      <sheetName val="CRC SCENARIO 2"/>
      <sheetName val="CRC SCENARIO 2 (BY SITE)"/>
      <sheetName val="IDR 15"/>
      <sheetName val="SAMPLE WORKSHEET"/>
      <sheetName val="REVISED 1998 SUM BY GROUP"/>
      <sheetName val="LEGACY SUM BY GROUP BY LOCATION"/>
      <sheetName val="CBMS SUM BY GROUP BY LOCATION"/>
      <sheetName val="Sample"/>
      <sheetName val="REVISED"/>
      <sheetName val="NH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ferral Forecast"/>
      <sheetName val="Income Statement"/>
      <sheetName val="Income Statement UI Interest"/>
      <sheetName val="Bonds Summary"/>
      <sheetName val="ACE LLC Detail Income Statement"/>
      <sheetName val="IS - Reserve for Restrct. amort"/>
      <sheetName val="Income Statement New Unbilled"/>
      <sheetName val="Income Statement New UBR TBC"/>
      <sheetName val="JFJ-1 Deferral Recovery Rate"/>
      <sheetName val="JFJ-2 NNC Rates"/>
      <sheetName val="JFJ-3 MTC Rate"/>
      <sheetName val="JFJ-4 CEP Rate"/>
      <sheetName val="JFJ-5 USF Rate"/>
      <sheetName val="JFJ-6 CRA Rate"/>
      <sheetName val="JFJ-7 2003 Rate Impact Summary"/>
      <sheetName val="SBC Over Recovery Amort"/>
      <sheetName val="TBC Rate Summary"/>
      <sheetName val="BGS Deferral"/>
      <sheetName val="NNC Deferral"/>
      <sheetName val="MTC Deferral"/>
      <sheetName val="SBC Deferral"/>
      <sheetName val="DSM August 1999 - July 2003"/>
      <sheetName val="Deferral Balances"/>
      <sheetName val="Interest Calc"/>
      <sheetName val="TUB Rate Summary"/>
      <sheetName val="NNC Rates 2002-2003"/>
      <sheetName val="2002 Reg Asset Rate"/>
      <sheetName val="2002 - 2007 BGS FP Costs"/>
      <sheetName val="BGS Rates"/>
      <sheetName val="Keystone Swap Amort Sched"/>
      <sheetName val="Restructuring Amort."/>
      <sheetName val="ACE 25 Year Sales Forecast"/>
      <sheetName val="PJM Capacity Obligation"/>
      <sheetName val="BL England Rev Req"/>
      <sheetName val="Keystone Rev Req"/>
      <sheetName val="Conemaugh Rev Req"/>
      <sheetName val="Generation Summary"/>
      <sheetName val="taxes"/>
      <sheetName val="SAP Upload Support"/>
      <sheetName val="OTRA Discounts"/>
      <sheetName val="Deferral Securitization"/>
      <sheetName val="Debt Design"/>
      <sheetName val="TBC Development"/>
      <sheetName val="MTC -Tax Development"/>
      <sheetName val="Budget Summary"/>
    </sheetNames>
    <sheetDataSet>
      <sheetData sheetId="0" refreshError="1"/>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ECRP Assets"/>
      <sheetName val="CBPP Assets"/>
      <sheetName val="Amergen"/>
      <sheetName val="West"/>
      <sheetName val="East"/>
      <sheetName val="Ratio Summary"/>
      <sheetName val="FAS 87"/>
      <sheetName val="Inputs"/>
      <sheetName val="ECRP Alloc"/>
      <sheetName val="CBPP Alloc"/>
      <sheetName val="CBPPU Alloc"/>
      <sheetName val="ENE Alloc"/>
      <sheetName val="SPBP Alloc"/>
      <sheetName val="SMRP Alloc"/>
      <sheetName val="AMG Alloc"/>
      <sheetName val="Total Alloc"/>
      <sheetName val="Forecast Q-NQ"/>
      <sheetName val="NOTES"/>
      <sheetName val="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sheetName val="2004 IS Actual"/>
      <sheetName val="2005 IS Plan"/>
      <sheetName val="2005 Actual"/>
      <sheetName val="2005 2+10 LE"/>
      <sheetName val="Blank"/>
      <sheetName val="EED IS"/>
      <sheetName val="EED IS Var B"/>
      <sheetName val="EED IS Var LE"/>
      <sheetName val="Blank1"/>
      <sheetName val="ComEd IS"/>
      <sheetName val="ComEd IS- Var 2 B"/>
      <sheetName val="ComEd IS- Var 2 LE"/>
      <sheetName val="Blank2"/>
      <sheetName val="PECO IS"/>
      <sheetName val="PECO IS- Var 2 B"/>
      <sheetName val="PECO IS- Var 2 LE"/>
      <sheetName val="Blank3"/>
      <sheetName val="EED BS "/>
      <sheetName val="EED BS Var B"/>
      <sheetName val="EED BS Var LE"/>
      <sheetName val="Blank4"/>
      <sheetName val="ComEd BS "/>
      <sheetName val="ComEd BS Var B"/>
      <sheetName val="ComEd BS Var LE"/>
      <sheetName val="Blank5"/>
      <sheetName val="PECO BS "/>
      <sheetName val="PECO BS Var B"/>
      <sheetName val="PECO BS Var LE"/>
      <sheetName val="Blank6"/>
      <sheetName val="EED CFS"/>
      <sheetName val="EED CFS Var B"/>
      <sheetName val="EED CFS Var LE"/>
      <sheetName val="Blank7"/>
      <sheetName val="ComEd CFS"/>
      <sheetName val="ComEd CFS Var B"/>
      <sheetName val="ComEd CFS Var LE"/>
      <sheetName val="Blank8"/>
      <sheetName val="PECO CFS"/>
      <sheetName val="PECO CFS Var B"/>
      <sheetName val="PECO CFS Var LE"/>
      <sheetName val="EED &gt;"/>
      <sheetName val="Blank9"/>
      <sheetName val="Blank10"/>
      <sheetName val="E O&amp;M VP M B"/>
      <sheetName val="E Cap VP M B"/>
      <sheetName val="E O&amp;M VP M LE"/>
      <sheetName val="E Cap VP M  LE"/>
      <sheetName val="E O&amp;M VP YTD B"/>
      <sheetName val="E Cap VP YTD B"/>
      <sheetName val="E O&amp;M VP FY B"/>
      <sheetName val="E Cap VP FY B"/>
      <sheetName val="E O&amp;M VP FY LE"/>
      <sheetName val="E Cap VP FY LE"/>
      <sheetName val="E O&amp;M RR"/>
      <sheetName val="E Cap RR"/>
      <sheetName val="E O&amp;M Category"/>
      <sheetName val="E Capital -Category"/>
      <sheetName val="E-Ops O&amp;M"/>
      <sheetName val="E-Ops O&amp;M R&amp;O"/>
      <sheetName val="E Ops Cap"/>
      <sheetName val="E Ops Cap R&amp;O"/>
      <sheetName val="E-TS O&amp;M"/>
      <sheetName val="E-TS O&amp;M R&amp;O"/>
      <sheetName val="E TS Cap"/>
      <sheetName val="E TS Cap R&amp;O"/>
      <sheetName val="E-C&amp;MS O&amp;M"/>
      <sheetName val="E-C&amp;MS O&amp;M R&amp;O"/>
      <sheetName val="E C&amp;MS Cap"/>
      <sheetName val="E C&amp;MS Cap R&amp;O"/>
      <sheetName val="E-CIMS O&amp;M"/>
      <sheetName val="E CIMS O&amp;M R&amp;O"/>
      <sheetName val="E CIMS Cap"/>
      <sheetName val="E CIMS Cap R&amp;O"/>
      <sheetName val="E-TO O&amp;M"/>
      <sheetName val="E-TO O&amp;M R&amp;O"/>
      <sheetName val="E TO Cap"/>
      <sheetName val="E TO Cap R&amp;O"/>
      <sheetName val="C-OFP O&amp;M"/>
      <sheetName val="C-OFP O&amp;M R&amp;O"/>
      <sheetName val="C OFP Cap"/>
      <sheetName val="C OFP Cap R&amp;O"/>
      <sheetName val="C Post 06 O&amp;M"/>
      <sheetName val="C-Post 06 O&amp;M R&amp;O"/>
      <sheetName val="C Post 06 Cap"/>
      <sheetName val="C Post 06 Cap R&amp;O"/>
      <sheetName val="P-OFP O&amp;M"/>
      <sheetName val="P-OFP O&amp;M R&amp;O"/>
      <sheetName val="P OFP Cap"/>
      <sheetName val="P OFP Cap R&amp;O"/>
      <sheetName val="Functional &gt;&gt;"/>
      <sheetName val="Blank9 (2)"/>
      <sheetName val="TOTAL O&amp;M"/>
      <sheetName val="TOTAL Cap"/>
      <sheetName val="Embedded O&amp;M"/>
      <sheetName val="Embedded Cap"/>
      <sheetName val="Finance-Sum O&amp;M"/>
      <sheetName val="Finance Sum Cap"/>
      <sheetName val="Finance O&amp;M"/>
      <sheetName val="Finance Cap"/>
      <sheetName val="Cont O&amp;M"/>
      <sheetName val="Cont Cap"/>
      <sheetName val="Tax O&amp;M"/>
      <sheetName val="Tax Cap"/>
      <sheetName val="HR O&amp;M"/>
      <sheetName val="Blank12"/>
      <sheetName val="IT O&amp;M"/>
      <sheetName val="IT Cap"/>
      <sheetName val="Legal O&amp;M"/>
      <sheetName val="Blank13"/>
      <sheetName val="Supply O&amp;M"/>
      <sheetName val="Supply Cap"/>
      <sheetName val="Com O&amp;M"/>
      <sheetName val="Blank14"/>
      <sheetName val="Allocated O&amp;M"/>
      <sheetName val="Allocated Cap"/>
      <sheetName val="Transactional"/>
      <sheetName val="ComED &gt;"/>
      <sheetName val="Blank15"/>
      <sheetName val="Blank16"/>
      <sheetName val="C O&amp;M VP M B"/>
      <sheetName val="C Cap VP M B"/>
      <sheetName val="C O&amp;M VP M LE"/>
      <sheetName val="C Cap VP M LE"/>
      <sheetName val="C O&amp;M VP Y B"/>
      <sheetName val="C Cap VP Y B"/>
      <sheetName val="C O&amp;M VP FY B"/>
      <sheetName val="C Cap VP FY B"/>
      <sheetName val="C O&amp;M VP FY LE"/>
      <sheetName val="C Cap VP FY LE"/>
      <sheetName val="C O&amp;M -Category"/>
      <sheetName val="C Capital-Category"/>
      <sheetName val="C Ops O&amp;M"/>
      <sheetName val="C Ops O&amp;M V"/>
      <sheetName val="C Ops Cap"/>
      <sheetName val="C Ops Cap V"/>
      <sheetName val="C-TS O&amp;M"/>
      <sheetName val="C TS O&amp;M V"/>
      <sheetName val="C TS Cap"/>
      <sheetName val="C TS Cap V"/>
      <sheetName val="C-C&amp;MS O&amp;M"/>
      <sheetName val="C C&amp;MS O&amp;M V"/>
      <sheetName val="C C&amp;MS Cap"/>
      <sheetName val="C C&amp;MS Cap V"/>
      <sheetName val="C-TO O&amp;M"/>
      <sheetName val="C TO O&amp;M V"/>
      <sheetName val="C TO Cap"/>
      <sheetName val="C TO Cap V"/>
      <sheetName val="PECO &gt;"/>
      <sheetName val="Blank17"/>
      <sheetName val="P O&amp;M VP M B"/>
      <sheetName val="P Cap VP M B"/>
      <sheetName val="P O&amp;M VP M LE"/>
      <sheetName val="P Cap VP M LE"/>
      <sheetName val="P O&amp;M VP Y B"/>
      <sheetName val="P Cap VP Y B"/>
      <sheetName val="P O&amp;M VP FY B"/>
      <sheetName val="P Cap VP FY B"/>
      <sheetName val="P O&amp;M VP FY LE"/>
      <sheetName val="P Cap M VP FY LE"/>
      <sheetName val="P O&amp;M-Category "/>
      <sheetName val="P Capital Category"/>
      <sheetName val="P-Ops O&amp;M"/>
      <sheetName val="P Ops O&amp;M V"/>
      <sheetName val="P Ops Cap"/>
      <sheetName val="P Ops Cap V"/>
      <sheetName val="P-TS O&amp;M"/>
      <sheetName val="P TS O&amp;M V"/>
      <sheetName val="P TS Cap"/>
      <sheetName val="P TS Cap V"/>
      <sheetName val="P-C&amp;MS O&amp;M"/>
      <sheetName val="P C&amp;MS O&amp;M V"/>
      <sheetName val="P C&amp;MS Cap"/>
      <sheetName val="P C&amp;MS Cap V"/>
      <sheetName val="P-CIMS O&amp;M "/>
      <sheetName val="P CIMS O&amp;M V"/>
      <sheetName val="P CIMS Cap"/>
      <sheetName val="P CIMS Cap V"/>
      <sheetName val="P-TO O&amp;M"/>
      <sheetName val="P TO O&amp;M V"/>
      <sheetName val="P TO Cap"/>
      <sheetName val="P TO Cap V"/>
      <sheetName val="RNF &gt;"/>
      <sheetName val="E Acc"/>
      <sheetName val="C Acc"/>
      <sheetName val="P Acc"/>
      <sheetName val="P Acc Elec"/>
      <sheetName val="P Acc Gas"/>
      <sheetName val="C Cust"/>
      <sheetName val="C Rev"/>
      <sheetName val="C Sales"/>
      <sheetName val="C Rates"/>
      <sheetName val="C PPA Price"/>
      <sheetName val="C PPA Vol"/>
      <sheetName val="C Trans"/>
      <sheetName val="P Elec Cust"/>
      <sheetName val="P Elec Rev"/>
      <sheetName val="P Elec Sales"/>
      <sheetName val="P Elec Rates"/>
      <sheetName val="P Elec PPA Price"/>
      <sheetName val="P Elec PPA Vol"/>
      <sheetName val="P Elec Trans"/>
      <sheetName val="P Gas Cust"/>
      <sheetName val="P Gas Rev"/>
      <sheetName val="P Gas Sales"/>
      <sheetName val="P Gas Rates"/>
      <sheetName val="Other P&amp;L &gt;"/>
      <sheetName val="EED Other Op Rev"/>
      <sheetName val="EED TOTI"/>
      <sheetName val="ComEd TOTI"/>
      <sheetName val="PECO TOTI"/>
      <sheetName val="EED Depr"/>
      <sheetName val="ComEd Depr "/>
      <sheetName val="PECO Depr"/>
      <sheetName val="EED Interest"/>
      <sheetName val="ComEd Interest"/>
      <sheetName val="ComEd Other Op Rev"/>
      <sheetName val="PECO Other Op Rev"/>
      <sheetName val="PECO Interest"/>
      <sheetName val="PECO Taxes"/>
      <sheetName val="Incentive &gt;"/>
      <sheetName val="AIP"/>
      <sheetName val="Financial Statements &gt;"/>
      <sheetName val="Functional Costs &gt;"/>
      <sheetName val="EED IS- Variances"/>
      <sheetName val="EED BS Var"/>
      <sheetName val="ComEd BS Var"/>
      <sheetName val="PECO BS Var"/>
      <sheetName val="EED CFS Var"/>
      <sheetName val="ComEd CFS Var"/>
      <sheetName val="PECO CFS Var"/>
      <sheetName val="C O&amp;M RR"/>
      <sheetName val="C Cap RR"/>
      <sheetName val="P O&amp;M RR"/>
      <sheetName val="P Cap RR"/>
      <sheetName val="Rev_Req"/>
      <sheetName val="FAS 8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E"/>
      <sheetName val="ATTACHMENT D"/>
      <sheetName val="ATTACHMENT C"/>
      <sheetName val="ATTACHMENT B"/>
      <sheetName val="ATTACHMENT A"/>
      <sheetName val="SUM BY GROUP BY SITE BY YEAR"/>
      <sheetName val="CRC SCENARIO 1"/>
      <sheetName val="CRC SCENARIO 1 (BY SITE)"/>
      <sheetName val="CRC SCENARIO 2"/>
      <sheetName val="CRC SCENARIO 2 (BY SITE)"/>
      <sheetName val="IDR 15"/>
      <sheetName val="SAMPLE WORKSHEET"/>
      <sheetName val="REVISED 1998 SUM BY GROUP"/>
      <sheetName val="LEGACY SUM BY GROUP BY LOCATION"/>
      <sheetName val="CBMS SUM BY GROUP BY LOCATION"/>
      <sheetName val="Sample"/>
      <sheetName val="REVIS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data"/>
      <sheetName val="PECO Capital Pivot DO NOT TOUCH"/>
      <sheetName val="PECO O&amp;M Pivot - DO NOT Touch"/>
      <sheetName val="Sheet1"/>
      <sheetName val="2014 IS Actual"/>
      <sheetName val="ChileanGaap"/>
      <sheetName val="Gastos"/>
      <sheetName val="Inversiones en Activo"/>
      <sheetName val="Inversiones en Empresas"/>
      <sheetName val="Otros_Prestamos"/>
      <sheetName val="Gastos_Personal"/>
      <sheetName val="Ingresos_Servicios"/>
      <sheetName val="USGaap_$"/>
      <sheetName val="USGaap_US$"/>
      <sheetName val="Venta"/>
      <sheetName val="Instructions"/>
      <sheetName val="Data Flow"/>
      <sheetName val="PECO Weather Normalization"/>
      <sheetName val="Annual"/>
      <sheetName val="Graph"/>
      <sheetName val="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5 CapEx (By VP By Dept) Budg"/>
      <sheetName val="2005 ComEd CapEx (By Dept) Budg"/>
      <sheetName val="Calculations"/>
      <sheetName val="Calculations Prior year"/>
      <sheetName val="DCF - Alcar LE"/>
      <sheetName val="DCF - Alcar Budget"/>
      <sheetName val="nVision"/>
      <sheetName val="Masterdata"/>
      <sheetName val="Rev_Req"/>
      <sheetName val="TFI use"/>
      <sheetName val="#REF"/>
      <sheetName val="2nd qtr 2000"/>
      <sheetName val="SETUP"/>
      <sheetName val="Database"/>
      <sheetName val="Ry"/>
      <sheetName val="2005 Amortization "/>
      <sheetName val="PECO 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emplate"/>
      <sheetName val="Administrator"/>
      <sheetName val="RNF Mini"/>
      <sheetName val="Data"/>
      <sheetName val="6 (3)"/>
      <sheetName val="6 (4)"/>
      <sheetName val="6 (5)"/>
      <sheetName val="Bridge Plan to Actual"/>
      <sheetName val="2005F vs. 2004A"/>
      <sheetName val="EFC 2004 Actual"/>
      <sheetName val="Accuracy Tracker"/>
      <sheetName val="Elec_Accuracy Tracker"/>
      <sheetName val="Gas_Accuracy Tracker"/>
      <sheetName val="ElecCustomers"/>
      <sheetName val="ElecSales"/>
      <sheetName val="ElecRevenue"/>
      <sheetName val="ElecRates"/>
      <sheetName val="ElecPPA Volume"/>
      <sheetName val="ElecPPA Expense"/>
      <sheetName val="ElecTrans Other"/>
      <sheetName val="GasRevenue"/>
      <sheetName val="GasSales"/>
      <sheetName val="GasRates"/>
      <sheetName val="GasCustomers"/>
      <sheetName val="Gas &quot;Current LE&quot;"/>
      <sheetName val="Gas Net Actuals 05"/>
      <sheetName val="Weather Impact on Ele 04"/>
      <sheetName val="Weather Impact on Gas 04"/>
      <sheetName val="Weather Impact on Ele 05"/>
      <sheetName val="Weather Impact on Gas 05"/>
      <sheetName val="Electric &quot;Current LE&quot;"/>
      <sheetName val="2005 Budget RNF"/>
      <sheetName val="2005 Net Actuals"/>
      <sheetName val="Gas Net Budget 05"/>
      <sheetName val="Gas Net Actuals 04"/>
      <sheetName val="Electric Output - Input"/>
      <sheetName val="Electric Customer Trend"/>
      <sheetName val="2005 Budget PPA"/>
      <sheetName val="T+5"/>
      <sheetName val="Actual PPA Blocks"/>
      <sheetName val="WA PPA Blocks"/>
      <sheetName val="Actual Zone Blocks"/>
      <sheetName val="WA Zone Blocks"/>
      <sheetName val="Data_LE"/>
      <sheetName val="Gas 2004"/>
      <sheetName val="2004 Net Actuals"/>
      <sheetName val="Power Purch Actual"/>
      <sheetName val="EFC Actuals Calc"/>
      <sheetName val="1-11 LE"/>
      <sheetName val="WC Retail Sendout"/>
      <sheetName val="2005 Act"/>
      <sheetName val="Gas Net Budget 04"/>
      <sheetName val="PJM Bill"/>
      <sheetName val="HDD-CDH"/>
      <sheetName val="Gas Sendout"/>
      <sheetName val="2005 gas thru-put Budget"/>
      <sheetName val="Gas Customer"/>
      <sheetName val="Electric Customers - Input"/>
      <sheetName val="Gas cust budget &amp; '04"/>
      <sheetName val="EFC 2005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90" zoomScaleNormal="90" workbookViewId="0">
      <selection activeCell="N23" sqref="N23"/>
    </sheetView>
  </sheetViews>
  <sheetFormatPr defaultRowHeight="14.5"/>
  <cols>
    <col min="1" max="1" width="16.54296875" customWidth="1"/>
    <col min="2" max="2" width="16.1796875" customWidth="1"/>
    <col min="3" max="3" width="34.81640625" bestFit="1" customWidth="1"/>
    <col min="4" max="4" width="34.453125" customWidth="1"/>
    <col min="5" max="5" width="20" customWidth="1"/>
    <col min="6" max="6" width="15.81640625" customWidth="1"/>
    <col min="7" max="7" width="16.54296875" customWidth="1"/>
    <col min="8" max="8" width="15.1796875" customWidth="1"/>
    <col min="9" max="9" width="11" customWidth="1"/>
    <col min="10" max="10" width="11.81640625" customWidth="1"/>
    <col min="11" max="11" width="11.453125" customWidth="1"/>
    <col min="12" max="12" width="12.453125" customWidth="1"/>
    <col min="13" max="13" width="13.453125" customWidth="1"/>
    <col min="15" max="15" width="34.7265625" customWidth="1"/>
  </cols>
  <sheetData>
    <row r="1" spans="1:13" ht="23.15" customHeight="1">
      <c r="A1" t="s">
        <v>0</v>
      </c>
      <c r="B1" s="9" t="s">
        <v>1</v>
      </c>
    </row>
    <row r="2" spans="1:13">
      <c r="A2" s="863" t="s">
        <v>2</v>
      </c>
      <c r="B2" s="863"/>
      <c r="C2" s="864"/>
      <c r="D2" s="854"/>
      <c r="E2" s="151" t="s">
        <v>3</v>
      </c>
      <c r="F2" s="865" t="s">
        <v>4</v>
      </c>
      <c r="G2" s="866"/>
      <c r="H2" s="867"/>
      <c r="I2" s="868" t="s">
        <v>5</v>
      </c>
      <c r="J2" s="869"/>
      <c r="K2" s="869"/>
      <c r="L2" s="869"/>
      <c r="M2" s="870"/>
    </row>
    <row r="3" spans="1:13" ht="72.5">
      <c r="A3" s="152" t="s">
        <v>6</v>
      </c>
      <c r="B3" s="153" t="s">
        <v>7</v>
      </c>
      <c r="C3" s="154" t="s">
        <v>8</v>
      </c>
      <c r="D3" s="154" t="s">
        <v>9</v>
      </c>
      <c r="E3" s="155" t="s">
        <v>10</v>
      </c>
      <c r="F3" s="156" t="s">
        <v>11</v>
      </c>
      <c r="G3" s="156" t="s">
        <v>12</v>
      </c>
      <c r="H3" s="156" t="s">
        <v>13</v>
      </c>
      <c r="I3" s="157" t="s">
        <v>14</v>
      </c>
      <c r="J3" s="157" t="s">
        <v>15</v>
      </c>
      <c r="K3" s="158" t="s">
        <v>16</v>
      </c>
      <c r="L3" s="158" t="s">
        <v>17</v>
      </c>
      <c r="M3" s="158" t="s">
        <v>18</v>
      </c>
    </row>
    <row r="4" spans="1:13">
      <c r="A4" s="159" t="s">
        <v>19</v>
      </c>
      <c r="B4" s="160" t="s">
        <v>20</v>
      </c>
      <c r="C4" s="159" t="s">
        <v>21</v>
      </c>
      <c r="D4" s="161" t="s">
        <v>22</v>
      </c>
      <c r="E4" s="159">
        <f>'Ap B - Qtr Electric Master'!$F$8</f>
        <v>1635</v>
      </c>
      <c r="F4" s="163"/>
      <c r="G4" s="164">
        <f>SUM(' Ap C - Qtr Electric LMI'!$F$8:$G$8)</f>
        <v>409.75299999999999</v>
      </c>
      <c r="H4" s="164">
        <f>'Ap B - Qtr Electric Master'!$J$8</f>
        <v>2209.2157500000003</v>
      </c>
      <c r="I4" s="165">
        <f>'Ap B - Qtr Electric Master'!$N$8</f>
        <v>778.22423570000001</v>
      </c>
      <c r="J4" s="165">
        <f>'Ap B - Qtr Electric Master'!$S$8</f>
        <v>12310.982684899998</v>
      </c>
      <c r="K4" s="231">
        <f>'Ap B - Qtr Electric Master'!$Q$8</f>
        <v>0.32473688499999998</v>
      </c>
      <c r="L4" s="13"/>
      <c r="M4" s="13"/>
    </row>
    <row r="5" spans="1:13">
      <c r="A5" s="159" t="s">
        <v>19</v>
      </c>
      <c r="B5" s="160" t="s">
        <v>20</v>
      </c>
      <c r="C5" s="159" t="s">
        <v>21</v>
      </c>
      <c r="D5" s="161" t="s">
        <v>23</v>
      </c>
      <c r="E5" s="159">
        <f>'Ap B - Qtr Electric Master'!$F$9</f>
        <v>3370</v>
      </c>
      <c r="F5" s="163"/>
      <c r="G5" s="164"/>
      <c r="H5" s="164">
        <f>'Ap B - Qtr Electric Master'!$J$9</f>
        <v>1667.4507599999999</v>
      </c>
      <c r="I5" s="165">
        <f>'Ap B - Qtr Electric Master'!$N$9</f>
        <v>397.4117</v>
      </c>
      <c r="J5" s="165">
        <f>'Ap B - Qtr Electric Master'!$S$9</f>
        <v>4463.6868000000004</v>
      </c>
      <c r="K5" s="231">
        <f>'Ap B - Qtr Electric Master'!$Q$9</f>
        <v>4.6920999999999997E-2</v>
      </c>
      <c r="L5" s="13"/>
      <c r="M5" s="13"/>
    </row>
    <row r="6" spans="1:13">
      <c r="A6" s="159" t="s">
        <v>19</v>
      </c>
      <c r="B6" s="160" t="s">
        <v>20</v>
      </c>
      <c r="C6" s="159" t="s">
        <v>21</v>
      </c>
      <c r="D6" s="161" t="s">
        <v>24</v>
      </c>
      <c r="E6" s="159">
        <f>'Ap B - Qtr Electric Master'!$F$10</f>
        <v>1815</v>
      </c>
      <c r="F6" s="163"/>
      <c r="G6" s="164"/>
      <c r="H6" s="164">
        <f>'Ap B - Qtr Electric Master'!$J$10</f>
        <v>766.37630999999999</v>
      </c>
      <c r="I6" s="165">
        <f>'Ap B - Qtr Electric Master'!$N$10</f>
        <v>2010.6659999999999</v>
      </c>
      <c r="J6" s="165">
        <f>'Ap B - Qtr Electric Master'!$S$10</f>
        <v>9782.9770000000008</v>
      </c>
      <c r="K6" s="231">
        <f>'Ap B - Qtr Electric Master'!$Q$10</f>
        <v>0.32160499999999997</v>
      </c>
      <c r="L6" s="13"/>
      <c r="M6" s="13"/>
    </row>
    <row r="7" spans="1:13">
      <c r="A7" s="159" t="s">
        <v>19</v>
      </c>
      <c r="B7" s="160" t="s">
        <v>20</v>
      </c>
      <c r="C7" s="159" t="s">
        <v>21</v>
      </c>
      <c r="D7" s="161" t="s">
        <v>25</v>
      </c>
      <c r="E7" s="159">
        <f>'Ap B - Qtr Electric Master'!$F$11</f>
        <v>3757</v>
      </c>
      <c r="F7" s="163"/>
      <c r="G7" s="164"/>
      <c r="H7" s="164">
        <f>'Ap B - Qtr Electric Master'!$J$11</f>
        <v>449.50813000000005</v>
      </c>
      <c r="I7" s="165"/>
      <c r="J7" s="165"/>
      <c r="K7" s="231"/>
      <c r="L7" s="13"/>
      <c r="M7" s="13"/>
    </row>
    <row r="8" spans="1:13">
      <c r="A8" s="159" t="s">
        <v>19</v>
      </c>
      <c r="B8" s="160" t="s">
        <v>20</v>
      </c>
      <c r="C8" s="159" t="s">
        <v>21</v>
      </c>
      <c r="D8" s="161" t="s">
        <v>26</v>
      </c>
      <c r="E8" s="159">
        <f>'Ap B - Qtr Electric Master'!$F$12</f>
        <v>26502</v>
      </c>
      <c r="F8" s="163"/>
      <c r="G8" s="164">
        <f>SUM(' Ap C - Qtr Electric LMI'!$F$9:$G$9)</f>
        <v>734.26700000000005</v>
      </c>
      <c r="H8" s="164">
        <f>'Ap B - Qtr Electric Master'!$J$12</f>
        <v>0</v>
      </c>
      <c r="I8" s="165">
        <f>'Ap B - Qtr Electric Master'!$N$12</f>
        <v>7199.8902173000006</v>
      </c>
      <c r="J8" s="165">
        <f>'Ap B - Qtr Electric Master'!$S$12</f>
        <v>88927.514059499998</v>
      </c>
      <c r="K8" s="231">
        <f>'Ap B - Qtr Electric Master'!$Q$12</f>
        <v>0.655449116</v>
      </c>
      <c r="L8" s="13"/>
      <c r="M8" s="13"/>
    </row>
    <row r="9" spans="1:13">
      <c r="A9" s="159" t="s">
        <v>19</v>
      </c>
      <c r="B9" s="160" t="s">
        <v>20</v>
      </c>
      <c r="C9" s="159" t="s">
        <v>21</v>
      </c>
      <c r="D9" s="166" t="s">
        <v>27</v>
      </c>
      <c r="E9" s="167">
        <f>'Ap B - Qtr Electric Master'!$F$13</f>
        <v>165239</v>
      </c>
      <c r="F9" s="163"/>
      <c r="G9" s="164">
        <f>SUM(' Ap C - Qtr Electric LMI'!$F$10:$G$10)</f>
        <v>860.71100000000001</v>
      </c>
      <c r="H9" s="164">
        <f>'Ap B - Qtr Electric Master'!$J$13</f>
        <v>897.26441999999997</v>
      </c>
      <c r="I9" s="165">
        <f>'Ap B - Qtr Electric Master'!$N$13</f>
        <v>25374.545900000001</v>
      </c>
      <c r="J9" s="165">
        <f>'Ap B - Qtr Electric Master'!$S$13</f>
        <v>380618.18900000001</v>
      </c>
      <c r="K9" s="231">
        <f>'Ap B - Qtr Electric Master'!$Q$13</f>
        <v>1.9019870000000001</v>
      </c>
      <c r="L9" s="13"/>
      <c r="M9" s="13"/>
    </row>
    <row r="10" spans="1:13">
      <c r="A10" s="159" t="s">
        <v>19</v>
      </c>
      <c r="B10" s="160" t="s">
        <v>20</v>
      </c>
      <c r="C10" s="159" t="s">
        <v>21</v>
      </c>
      <c r="D10" s="161"/>
      <c r="E10" s="162"/>
      <c r="F10" s="310">
        <f>'Ap B - Qtr Electric Master'!$I$14</f>
        <v>5012.5690000000004</v>
      </c>
      <c r="G10" s="311"/>
      <c r="H10" s="311"/>
      <c r="I10" s="165"/>
      <c r="J10" s="165"/>
      <c r="K10" s="231"/>
      <c r="L10" s="13"/>
      <c r="M10" s="13"/>
    </row>
    <row r="11" spans="1:13">
      <c r="A11" s="159" t="s">
        <v>19</v>
      </c>
      <c r="B11" s="160" t="s">
        <v>20</v>
      </c>
      <c r="C11" s="159" t="s">
        <v>28</v>
      </c>
      <c r="D11" s="161" t="s">
        <v>29</v>
      </c>
      <c r="E11" s="162">
        <f>'Ap B - Qtr Electric Master'!$F$15</f>
        <v>99</v>
      </c>
      <c r="F11" s="310">
        <f>'Ap B - Qtr Electric Master'!$I$15</f>
        <v>2943.2649999999999</v>
      </c>
      <c r="G11" s="311">
        <f>SUM(' Ap C - Qtr Electric LMI'!$F$11:$G$11)</f>
        <v>389.572</v>
      </c>
      <c r="H11" s="311">
        <f>'Ap B - Qtr Electric Master'!$J$15</f>
        <v>1412.91956</v>
      </c>
      <c r="I11" s="165">
        <f>'Ap B - Qtr Electric Master'!$N$15</f>
        <v>72.181799999999996</v>
      </c>
      <c r="J11" s="165">
        <f>'Ap B - Qtr Electric Master'!$S$15</f>
        <v>1819.6721</v>
      </c>
      <c r="K11" s="231">
        <f>'Ap B - Qtr Electric Master'!$Q$15</f>
        <v>0</v>
      </c>
      <c r="L11" s="13"/>
      <c r="M11" s="13"/>
    </row>
    <row r="12" spans="1:13">
      <c r="A12" s="159" t="s">
        <v>19</v>
      </c>
      <c r="B12" s="160" t="s">
        <v>20</v>
      </c>
      <c r="C12" s="159" t="s">
        <v>28</v>
      </c>
      <c r="D12" s="161" t="s">
        <v>30</v>
      </c>
      <c r="E12" s="162">
        <f>'Ap B - Qtr Electric Master'!$F$16</f>
        <v>4108</v>
      </c>
      <c r="F12" s="310">
        <f>'Ap B - Qtr Electric Master'!$I$16</f>
        <v>3681.07</v>
      </c>
      <c r="G12" s="311">
        <f>SUM(' Ap C - Qtr Electric LMI'!$F$12:$G$12)</f>
        <v>941.78800000000001</v>
      </c>
      <c r="H12" s="311">
        <f>'Ap B - Qtr Electric Master'!$J$16</f>
        <v>711.73099999999999</v>
      </c>
      <c r="I12" s="165">
        <f>'Ap B - Qtr Electric Master'!$N$16</f>
        <v>2035.2485999999999</v>
      </c>
      <c r="J12" s="165">
        <f>'Ap B - Qtr Electric Master'!$S$16</f>
        <v>27334.491000000002</v>
      </c>
      <c r="K12" s="231">
        <f>'Ap B - Qtr Electric Master'!$Q$16</f>
        <v>0.14109099999999999</v>
      </c>
      <c r="L12" s="13"/>
      <c r="M12" s="13"/>
    </row>
    <row r="13" spans="1:13">
      <c r="A13" s="159" t="s">
        <v>19</v>
      </c>
      <c r="B13" s="160" t="s">
        <v>20</v>
      </c>
      <c r="C13" s="159" t="s">
        <v>28</v>
      </c>
      <c r="D13" s="161" t="s">
        <v>31</v>
      </c>
      <c r="E13" s="162">
        <f>'Ap B - Qtr Electric Master'!$F$17</f>
        <v>212</v>
      </c>
      <c r="F13" s="310">
        <f>'Ap B - Qtr Electric Master'!$I$17</f>
        <v>4214.8360000000002</v>
      </c>
      <c r="G13" s="311">
        <f>SUM(' Ap C - Qtr Electric LMI'!$F$13:$G$13)</f>
        <v>128</v>
      </c>
      <c r="H13" s="311">
        <f>'Ap B - Qtr Electric Master'!$J$17</f>
        <v>924.50788999999997</v>
      </c>
      <c r="I13" s="165">
        <f>'Ap B - Qtr Electric Master'!$N$17</f>
        <v>281.21839999999997</v>
      </c>
      <c r="J13" s="165">
        <f>'Ap B - Qtr Electric Master'!$S$17</f>
        <v>3649.3631999999998</v>
      </c>
      <c r="K13" s="231">
        <f>'Ap B - Qtr Electric Master'!$Q$17</f>
        <v>1.6879000000000002E-2</v>
      </c>
      <c r="L13" s="13"/>
      <c r="M13" s="13"/>
    </row>
    <row r="14" spans="1:13">
      <c r="A14" s="159" t="s">
        <v>19</v>
      </c>
      <c r="B14" s="160" t="s">
        <v>20</v>
      </c>
      <c r="C14" s="159" t="s">
        <v>32</v>
      </c>
      <c r="D14" s="161" t="s">
        <v>33</v>
      </c>
      <c r="E14" s="856">
        <f>'Ap B - Qtr Electric Master'!$F$18</f>
        <v>223011</v>
      </c>
      <c r="F14" s="310">
        <f>'Ap B - Qtr Electric Master'!$I$18</f>
        <v>0</v>
      </c>
      <c r="G14" s="311">
        <f>SUM(' Ap C - Qtr Electric LMI'!$F$14:$G$14)</f>
        <v>0</v>
      </c>
      <c r="H14" s="311">
        <f>'Ap B - Qtr Electric Master'!$J$18</f>
        <v>286.07578000000001</v>
      </c>
      <c r="I14" s="165">
        <f>'Ap B - Qtr Electric Master'!$N$18</f>
        <v>8623</v>
      </c>
      <c r="J14" s="165">
        <f>'Ap B - Qtr Electric Master'!$S$18</f>
        <v>8623</v>
      </c>
      <c r="K14" s="231">
        <f>'Ap B - Qtr Electric Master'!$Q$18</f>
        <v>2.2930000000000001</v>
      </c>
      <c r="L14" s="13"/>
      <c r="M14" s="13"/>
    </row>
    <row r="15" spans="1:13">
      <c r="A15" s="159" t="s">
        <v>19</v>
      </c>
      <c r="B15" s="160" t="s">
        <v>34</v>
      </c>
      <c r="C15" s="159" t="s">
        <v>35</v>
      </c>
      <c r="D15" s="161" t="s">
        <v>35</v>
      </c>
      <c r="E15" s="162">
        <f>'Ap B - Qtr Electric Master'!$F$22</f>
        <v>25</v>
      </c>
      <c r="F15" s="310">
        <f>'Ap B - Qtr Electric Master'!$I$22</f>
        <v>8648.4900000000016</v>
      </c>
      <c r="G15" s="311"/>
      <c r="H15" s="311">
        <f>'Ap B - Qtr Electric Master'!$J$22</f>
        <v>2013.53027</v>
      </c>
      <c r="I15" s="165">
        <f>'Ap B - Qtr Electric Master'!$N$22</f>
        <v>377.76420000000002</v>
      </c>
      <c r="J15" s="165">
        <f>'Ap B - Qtr Electric Master'!$S$22</f>
        <v>5615.2767000000003</v>
      </c>
      <c r="K15" s="231">
        <f>'Ap B - Qtr Electric Master'!$Q$22</f>
        <v>4.3411999999999999E-2</v>
      </c>
      <c r="L15" s="13"/>
      <c r="M15" s="13"/>
    </row>
    <row r="16" spans="1:13">
      <c r="A16" s="159" t="s">
        <v>19</v>
      </c>
      <c r="B16" s="160" t="s">
        <v>34</v>
      </c>
      <c r="C16" s="159" t="s">
        <v>36</v>
      </c>
      <c r="D16" s="161" t="s">
        <v>37</v>
      </c>
      <c r="E16" s="162">
        <f>'Ap B - Qtr Electric Master'!$F$23</f>
        <v>290</v>
      </c>
      <c r="F16" s="310">
        <f>'Ap B - Qtr Electric Master'!$I$23</f>
        <v>7783.433</v>
      </c>
      <c r="G16" s="857">
        <f>SUM(' Ap D - Qtr Electric Business'!$F$9:$G$9)</f>
        <v>3865.5877599999999</v>
      </c>
      <c r="H16" s="311">
        <f>'Ap B - Qtr Electric Master'!$J$23</f>
        <v>5408.0384300000005</v>
      </c>
      <c r="I16" s="165">
        <f>'Ap B - Qtr Electric Master'!$N$23</f>
        <v>20686.080999999998</v>
      </c>
      <c r="J16" s="165">
        <f>'Ap B - Qtr Electric Master'!$S$23</f>
        <v>296445.1067</v>
      </c>
      <c r="K16" s="231">
        <f>'Ap B - Qtr Electric Master'!$Q$23</f>
        <v>3.1167760000000002</v>
      </c>
      <c r="L16" s="13"/>
      <c r="M16" s="13"/>
    </row>
    <row r="17" spans="1:13">
      <c r="A17" s="159" t="s">
        <v>19</v>
      </c>
      <c r="B17" s="160" t="s">
        <v>34</v>
      </c>
      <c r="C17" s="159" t="s">
        <v>36</v>
      </c>
      <c r="D17" s="161" t="s">
        <v>38</v>
      </c>
      <c r="E17" s="162">
        <f>'Ap B - Qtr Electric Master'!$F$24</f>
        <v>2</v>
      </c>
      <c r="F17" s="310">
        <f>'Ap B - Qtr Electric Master'!$I$24</f>
        <v>279.64699999999999</v>
      </c>
      <c r="G17" s="857">
        <f>SUM(' Ap D - Qtr Electric Business'!$F$10:$G$10)</f>
        <v>2</v>
      </c>
      <c r="H17" s="311">
        <f>'Ap B - Qtr Electric Master'!$J$24</f>
        <v>560.18682999999999</v>
      </c>
      <c r="I17" s="165">
        <f>'Ap B - Qtr Electric Master'!$N$24</f>
        <v>482</v>
      </c>
      <c r="J17" s="165">
        <f>'Ap B - Qtr Electric Master'!$S$24</f>
        <v>4434.3999999999996</v>
      </c>
      <c r="K17" s="231">
        <f>'Ap B - Qtr Electric Master'!$Q$24</f>
        <v>3.3000000000000002E-2</v>
      </c>
      <c r="L17" s="13"/>
      <c r="M17" s="13"/>
    </row>
    <row r="18" spans="1:13">
      <c r="A18" s="159" t="s">
        <v>19</v>
      </c>
      <c r="B18" s="160" t="s">
        <v>34</v>
      </c>
      <c r="C18" s="159" t="s">
        <v>36</v>
      </c>
      <c r="D18" s="161" t="s">
        <v>39</v>
      </c>
      <c r="E18" s="162">
        <f>'Ap B - Qtr Electric Master'!$F$25</f>
        <v>0</v>
      </c>
      <c r="F18" s="310">
        <f>'Ap B - Qtr Electric Master'!$I$25</f>
        <v>1146.1969999999999</v>
      </c>
      <c r="G18" s="311">
        <f>SUM(' Ap D - Qtr Electric Business'!$F$11:$G$11)</f>
        <v>0</v>
      </c>
      <c r="H18" s="311">
        <f>'Ap B - Qtr Electric Master'!$J$25</f>
        <v>889.54555000000005</v>
      </c>
      <c r="I18" s="165">
        <f>'Ap B - Qtr Electric Master'!$N$25</f>
        <v>0</v>
      </c>
      <c r="J18" s="165">
        <f>'Ap B - Qtr Electric Master'!$S$25</f>
        <v>0</v>
      </c>
      <c r="K18" s="231">
        <f>'Ap B - Qtr Electric Master'!$Q$25</f>
        <v>0</v>
      </c>
      <c r="L18" s="13"/>
      <c r="M18" s="13"/>
    </row>
    <row r="19" spans="1:13">
      <c r="A19" s="159" t="s">
        <v>19</v>
      </c>
      <c r="B19" s="160" t="s">
        <v>40</v>
      </c>
      <c r="C19" s="159" t="s">
        <v>40</v>
      </c>
      <c r="D19" s="161" t="s">
        <v>29</v>
      </c>
      <c r="E19" s="162">
        <f>'Ap B - Qtr Electric Master'!$F$28</f>
        <v>3</v>
      </c>
      <c r="F19" s="310"/>
      <c r="G19" s="311">
        <f>SUM(' Ap C - Qtr Electric LMI'!$F$17:$G$17)</f>
        <v>156</v>
      </c>
      <c r="H19" s="311"/>
      <c r="I19" s="165">
        <f>'Ap B - Qtr Electric Master'!$N$28</f>
        <v>0</v>
      </c>
      <c r="J19" s="165">
        <f>'Ap B - Qtr Electric Master'!$S$28</f>
        <v>0</v>
      </c>
      <c r="K19" s="231">
        <f>'Ap B - Qtr Electric Master'!$Q$28</f>
        <v>0</v>
      </c>
      <c r="L19" s="13"/>
      <c r="M19" s="13"/>
    </row>
    <row r="20" spans="1:13">
      <c r="A20" s="159" t="s">
        <v>19</v>
      </c>
      <c r="B20" s="160" t="s">
        <v>40</v>
      </c>
      <c r="C20" s="159" t="s">
        <v>40</v>
      </c>
      <c r="D20" s="161" t="s">
        <v>35</v>
      </c>
      <c r="E20" s="162">
        <f>'Ap B - Qtr Electric Master'!$F$29</f>
        <v>1374</v>
      </c>
      <c r="F20" s="310"/>
      <c r="G20" s="311">
        <f>SUM(' Ap C - Qtr Electric LMI'!$F$18:$G$18)</f>
        <v>204.30600000000001</v>
      </c>
      <c r="H20" s="311"/>
      <c r="I20" s="165">
        <f>'Ap B - Qtr Electric Master'!$N$29</f>
        <v>735.91510000000005</v>
      </c>
      <c r="J20" s="165">
        <f>'Ap B - Qtr Electric Master'!$S$29</f>
        <v>8521.7417000000005</v>
      </c>
      <c r="K20" s="231">
        <f>'Ap B - Qtr Electric Master'!$Q$29</f>
        <v>3.3218999999999999E-2</v>
      </c>
      <c r="L20" s="13"/>
      <c r="M20" s="13"/>
    </row>
    <row r="21" spans="1:13">
      <c r="A21" s="159" t="s">
        <v>19</v>
      </c>
      <c r="B21" s="160" t="s">
        <v>40</v>
      </c>
      <c r="C21" s="159" t="s">
        <v>40</v>
      </c>
      <c r="D21" s="161" t="s">
        <v>37</v>
      </c>
      <c r="E21" s="162">
        <f>'Ap B - Qtr Electric Master'!$F$30</f>
        <v>0</v>
      </c>
      <c r="F21" s="310"/>
      <c r="G21" s="311">
        <f>SUM(' Ap D - Qtr Electric Business'!$F$14:$G$14)</f>
        <v>0</v>
      </c>
      <c r="H21" s="311"/>
      <c r="I21" s="165">
        <f>'Ap B - Qtr Electric Master'!$N$30</f>
        <v>0</v>
      </c>
      <c r="J21" s="165">
        <f>'Ap B - Qtr Electric Master'!$S$30</f>
        <v>0</v>
      </c>
      <c r="K21" s="231">
        <f>'Ap B - Qtr Electric Master'!$Q$30</f>
        <v>0</v>
      </c>
      <c r="L21" s="13"/>
      <c r="M21" s="13"/>
    </row>
    <row r="22" spans="1:13">
      <c r="A22" s="159" t="s">
        <v>19</v>
      </c>
      <c r="B22" s="160" t="s">
        <v>40</v>
      </c>
      <c r="C22" s="159" t="s">
        <v>40</v>
      </c>
      <c r="D22" s="161" t="s">
        <v>39</v>
      </c>
      <c r="E22" s="162">
        <f>'Ap B - Qtr Electric Master'!$F$31</f>
        <v>0</v>
      </c>
      <c r="F22" s="310"/>
      <c r="G22" s="311">
        <f>SUM(' Ap D - Qtr Electric Business'!$F$15:$G$15)</f>
        <v>0</v>
      </c>
      <c r="H22" s="311"/>
      <c r="I22" s="165">
        <f>'Ap B - Qtr Electric Master'!$N$31</f>
        <v>0</v>
      </c>
      <c r="J22" s="165">
        <f>'Ap B - Qtr Electric Master'!$S$31</f>
        <v>0</v>
      </c>
      <c r="K22" s="231">
        <f>'Ap B - Qtr Electric Master'!$Q$31</f>
        <v>0</v>
      </c>
      <c r="L22" s="13"/>
      <c r="M22" s="13"/>
    </row>
    <row r="23" spans="1:13">
      <c r="A23" s="159" t="s">
        <v>19</v>
      </c>
      <c r="B23" s="160" t="s">
        <v>40</v>
      </c>
      <c r="C23" s="159" t="s">
        <v>40</v>
      </c>
      <c r="D23" s="161"/>
      <c r="E23" s="162"/>
      <c r="F23" s="310">
        <f>'Ap B - Qtr Electric Master'!$I$32</f>
        <v>1364.884</v>
      </c>
      <c r="G23" s="311"/>
      <c r="H23" s="311">
        <f>'Ap B - Qtr Electric Master'!$J$32</f>
        <v>756.12381000000005</v>
      </c>
      <c r="I23" s="165"/>
      <c r="J23" s="165"/>
      <c r="K23" s="165"/>
      <c r="L23" s="13"/>
      <c r="M23" s="13"/>
    </row>
    <row r="24" spans="1:13">
      <c r="A24" s="159" t="s">
        <v>19</v>
      </c>
      <c r="B24" s="159" t="s">
        <v>41</v>
      </c>
      <c r="C24" s="159" t="s">
        <v>41</v>
      </c>
      <c r="D24" s="159" t="s">
        <v>41</v>
      </c>
      <c r="E24" s="162">
        <f>'Tables 2-6'!$C$21</f>
        <v>431949</v>
      </c>
      <c r="F24" s="310">
        <f>'Tables 2-6'!$D$32</f>
        <v>0</v>
      </c>
      <c r="G24" s="311"/>
      <c r="H24" s="311">
        <f>'Tables 2-6'!$C$32</f>
        <v>0</v>
      </c>
      <c r="I24" s="165">
        <f>'Tables 2-6'!$C$42</f>
        <v>0</v>
      </c>
      <c r="J24" s="165"/>
      <c r="K24" s="165"/>
      <c r="L24" s="13"/>
      <c r="M24" s="13"/>
    </row>
    <row r="25" spans="1:13">
      <c r="A25" s="159" t="s">
        <v>19</v>
      </c>
      <c r="B25" s="159" t="s">
        <v>42</v>
      </c>
      <c r="C25" s="159" t="s">
        <v>42</v>
      </c>
      <c r="D25" s="161"/>
      <c r="E25" s="162"/>
      <c r="F25" s="310">
        <f>'Ap B - Qtr Electric Master'!I38</f>
        <v>950</v>
      </c>
      <c r="G25" s="311"/>
      <c r="H25" s="311">
        <f>'Ap B - Qtr Electric Master'!J38</f>
        <v>890.28000000000009</v>
      </c>
      <c r="I25" s="165"/>
      <c r="J25" s="165"/>
      <c r="K25" s="165"/>
      <c r="L25" s="13"/>
      <c r="M25" s="13"/>
    </row>
    <row r="26" spans="1:13">
      <c r="A26" s="159"/>
      <c r="B26" s="160"/>
      <c r="C26" s="159"/>
      <c r="D26" s="161"/>
      <c r="E26" s="162"/>
      <c r="F26" s="163"/>
      <c r="G26" s="164"/>
      <c r="H26" s="164"/>
      <c r="I26" s="165"/>
      <c r="J26" s="165"/>
      <c r="K26" s="165"/>
      <c r="L26" s="13"/>
      <c r="M26" s="13"/>
    </row>
    <row r="27" spans="1:13">
      <c r="A27" s="159"/>
      <c r="B27" s="160"/>
      <c r="C27" s="159"/>
      <c r="D27" s="161"/>
      <c r="E27" s="162"/>
      <c r="F27" s="163"/>
      <c r="G27" s="164"/>
      <c r="H27" s="164"/>
      <c r="I27" s="165"/>
      <c r="J27" s="165"/>
      <c r="K27" s="165"/>
      <c r="L27" s="13"/>
      <c r="M27" s="13"/>
    </row>
    <row r="28" spans="1:13">
      <c r="A28" s="159"/>
      <c r="B28" s="160"/>
      <c r="C28" s="159"/>
      <c r="D28" s="161"/>
      <c r="E28" s="162"/>
      <c r="F28" s="163"/>
      <c r="G28" s="164"/>
      <c r="H28" s="164"/>
      <c r="I28" s="165"/>
      <c r="J28" s="165"/>
      <c r="K28" s="165"/>
      <c r="L28" s="13"/>
      <c r="M28" s="13"/>
    </row>
    <row r="29" spans="1:13">
      <c r="A29" s="159"/>
      <c r="B29" s="160"/>
      <c r="C29" s="159"/>
      <c r="D29" s="161"/>
      <c r="E29" s="162"/>
      <c r="F29" s="163"/>
      <c r="G29" s="164"/>
      <c r="H29" s="164"/>
      <c r="I29" s="165"/>
      <c r="J29" s="165"/>
      <c r="K29" s="165"/>
      <c r="L29" s="13"/>
      <c r="M29" s="13"/>
    </row>
    <row r="30" spans="1:13">
      <c r="A30" s="159"/>
      <c r="B30" s="160"/>
      <c r="C30" s="159"/>
      <c r="D30" s="161"/>
      <c r="E30" s="162"/>
      <c r="F30" s="163"/>
      <c r="G30" s="164"/>
      <c r="H30" s="164"/>
      <c r="I30" s="165"/>
      <c r="J30" s="165"/>
      <c r="K30" s="165"/>
      <c r="L30" s="13"/>
      <c r="M30" s="13"/>
    </row>
    <row r="31" spans="1:13">
      <c r="A31" s="159"/>
      <c r="B31" s="160"/>
      <c r="C31" s="159"/>
      <c r="D31" s="161"/>
      <c r="E31" s="162"/>
      <c r="F31" s="163"/>
      <c r="G31" s="164"/>
      <c r="H31" s="164"/>
      <c r="I31" s="165"/>
      <c r="J31" s="165"/>
      <c r="K31" s="165"/>
      <c r="L31" s="13"/>
      <c r="M31" s="13"/>
    </row>
  </sheetData>
  <mergeCells count="3">
    <mergeCell ref="A2:C2"/>
    <mergeCell ref="F2:H2"/>
    <mergeCell ref="I2:M2"/>
  </mergeCells>
  <conditionalFormatting sqref="G4:H31">
    <cfRule type="expression" dxfId="0" priority="1">
      <formula>IF(#REF!&gt;1,TRUE,FALSE)</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B23"/>
  <sheetViews>
    <sheetView showGridLines="0" tabSelected="1" zoomScaleNormal="100" zoomScaleSheetLayoutView="100" workbookViewId="0">
      <selection activeCell="M2" sqref="M2"/>
    </sheetView>
  </sheetViews>
  <sheetFormatPr defaultColWidth="9.26953125" defaultRowHeight="14.5"/>
  <cols>
    <col min="1" max="1" width="4.26953125" customWidth="1"/>
    <col min="2" max="2" width="22.1796875" customWidth="1"/>
    <col min="3" max="3" width="35" customWidth="1"/>
    <col min="4" max="4" width="16.26953125" customWidth="1"/>
    <col min="5" max="5" width="15.54296875" customWidth="1"/>
    <col min="6" max="6" width="17.453125" customWidth="1"/>
    <col min="7" max="7" width="17.26953125" customWidth="1"/>
    <col min="8" max="8" width="16.81640625" customWidth="1"/>
    <col min="9" max="9" width="17" customWidth="1"/>
    <col min="10" max="15" width="16.26953125" customWidth="1"/>
    <col min="20" max="20" width="9.26953125" hidden="1" customWidth="1"/>
    <col min="21" max="21" width="8.81640625" hidden="1" customWidth="1"/>
    <col min="22" max="22" width="50.7265625" hidden="1" customWidth="1"/>
    <col min="23" max="24" width="13.7265625" hidden="1" customWidth="1"/>
    <col min="25" max="25" width="10.453125" hidden="1" customWidth="1"/>
    <col min="26" max="27" width="13.7265625" hidden="1" customWidth="1"/>
    <col min="28" max="28" width="10.453125" hidden="1" customWidth="1"/>
  </cols>
  <sheetData>
    <row r="1" spans="1:28" ht="23.5">
      <c r="A1" s="1" t="s">
        <v>184</v>
      </c>
    </row>
    <row r="3" spans="1:28" ht="19" thickBot="1">
      <c r="A3" s="5"/>
      <c r="B3" s="5" t="s">
        <v>185</v>
      </c>
      <c r="C3" s="5"/>
      <c r="D3" s="5"/>
      <c r="E3" s="5"/>
      <c r="F3" s="5"/>
      <c r="G3" s="5"/>
      <c r="H3" s="5"/>
    </row>
    <row r="4" spans="1:28" ht="43.15" customHeight="1" thickBot="1">
      <c r="A4" t="s">
        <v>148</v>
      </c>
      <c r="B4" s="56"/>
      <c r="C4" s="28"/>
      <c r="D4" s="932" t="s">
        <v>186</v>
      </c>
      <c r="E4" s="933"/>
      <c r="F4" s="934" t="s">
        <v>250</v>
      </c>
      <c r="G4" s="935"/>
      <c r="H4" s="936" t="s">
        <v>188</v>
      </c>
      <c r="I4" s="937"/>
    </row>
    <row r="5" spans="1:28" ht="21" customHeight="1" thickBot="1">
      <c r="B5" s="71"/>
      <c r="C5" s="30"/>
      <c r="D5" s="57" t="s">
        <v>190</v>
      </c>
      <c r="E5" s="59" t="s">
        <v>191</v>
      </c>
      <c r="F5" s="65" t="s">
        <v>192</v>
      </c>
      <c r="G5" s="66" t="s">
        <v>251</v>
      </c>
      <c r="H5" s="58" t="s">
        <v>194</v>
      </c>
      <c r="I5" s="61" t="s">
        <v>195</v>
      </c>
      <c r="J5" s="318" t="s">
        <v>196</v>
      </c>
      <c r="K5" s="361" t="s">
        <v>264</v>
      </c>
      <c r="L5" s="318" t="s">
        <v>198</v>
      </c>
      <c r="M5" s="319" t="s">
        <v>199</v>
      </c>
      <c r="N5" s="318" t="s">
        <v>200</v>
      </c>
      <c r="O5" s="319" t="s">
        <v>265</v>
      </c>
    </row>
    <row r="6" spans="1:28" ht="52.5" customHeight="1" thickBot="1">
      <c r="B6" s="72"/>
      <c r="C6" s="29"/>
      <c r="D6" s="938" t="s">
        <v>10</v>
      </c>
      <c r="E6" s="939"/>
      <c r="F6" s="921" t="s">
        <v>252</v>
      </c>
      <c r="G6" s="922"/>
      <c r="H6" s="923" t="s">
        <v>217</v>
      </c>
      <c r="I6" s="940"/>
      <c r="J6" s="923" t="s">
        <v>266</v>
      </c>
      <c r="K6" s="940"/>
      <c r="L6" s="923" t="s">
        <v>267</v>
      </c>
      <c r="M6" s="940"/>
      <c r="N6" s="923" t="s">
        <v>268</v>
      </c>
      <c r="O6" s="940"/>
      <c r="T6" s="349"/>
      <c r="U6" s="349"/>
      <c r="V6" s="349"/>
      <c r="W6" s="350"/>
      <c r="X6" s="350"/>
      <c r="Y6" s="350"/>
      <c r="Z6" s="350"/>
      <c r="AA6" s="350"/>
      <c r="AB6" s="350"/>
    </row>
    <row r="7" spans="1:28" ht="29.5" thickBot="1">
      <c r="B7" s="53" t="s">
        <v>236</v>
      </c>
      <c r="C7" s="48" t="s">
        <v>9</v>
      </c>
      <c r="D7" s="69" t="s">
        <v>269</v>
      </c>
      <c r="E7" s="70" t="s">
        <v>270</v>
      </c>
      <c r="F7" s="69" t="s">
        <v>269</v>
      </c>
      <c r="G7" s="70" t="s">
        <v>270</v>
      </c>
      <c r="H7" s="69" t="s">
        <v>269</v>
      </c>
      <c r="I7" s="70" t="s">
        <v>270</v>
      </c>
      <c r="J7" s="320" t="s">
        <v>269</v>
      </c>
      <c r="K7" s="362" t="s">
        <v>270</v>
      </c>
      <c r="L7" s="320" t="s">
        <v>269</v>
      </c>
      <c r="M7" s="321" t="s">
        <v>270</v>
      </c>
      <c r="N7" s="360" t="s">
        <v>269</v>
      </c>
      <c r="O7" s="359" t="s">
        <v>270</v>
      </c>
      <c r="T7" s="351"/>
      <c r="U7" s="351"/>
      <c r="V7" s="351"/>
      <c r="W7" s="352"/>
      <c r="X7" s="352"/>
      <c r="Y7" s="352"/>
      <c r="Z7" s="353"/>
      <c r="AA7" s="353"/>
      <c r="AB7" s="353"/>
    </row>
    <row r="8" spans="1:28" ht="15" thickBot="1">
      <c r="B8" s="47" t="s">
        <v>149</v>
      </c>
      <c r="C8" s="32" t="s">
        <v>35</v>
      </c>
      <c r="D8" s="645">
        <v>25</v>
      </c>
      <c r="E8" s="509" t="s">
        <v>109</v>
      </c>
      <c r="F8" s="859">
        <v>211.86414000000002</v>
      </c>
      <c r="G8" s="860" t="s">
        <v>109</v>
      </c>
      <c r="H8" s="646">
        <v>378</v>
      </c>
      <c r="I8" s="509" t="s">
        <v>109</v>
      </c>
      <c r="J8" s="558">
        <v>5318</v>
      </c>
      <c r="K8" s="509" t="s">
        <v>109</v>
      </c>
      <c r="L8" s="558">
        <v>5615</v>
      </c>
      <c r="M8" s="509" t="s">
        <v>109</v>
      </c>
      <c r="N8" s="558">
        <v>5845</v>
      </c>
      <c r="O8" s="509" t="s">
        <v>109</v>
      </c>
      <c r="T8" s="351"/>
      <c r="U8" s="351"/>
      <c r="V8" s="351"/>
      <c r="W8" s="352"/>
      <c r="X8" s="352"/>
      <c r="Y8" s="352"/>
      <c r="Z8" s="353"/>
      <c r="AA8" s="353"/>
      <c r="AB8" s="353"/>
    </row>
    <row r="9" spans="1:28">
      <c r="B9" s="941" t="s">
        <v>36</v>
      </c>
      <c r="C9" s="46" t="s">
        <v>37</v>
      </c>
      <c r="D9" s="647">
        <v>203</v>
      </c>
      <c r="E9" s="648">
        <v>87</v>
      </c>
      <c r="F9" s="861">
        <v>1584.0097599999999</v>
      </c>
      <c r="G9" s="858">
        <v>2281.578</v>
      </c>
      <c r="H9" s="559">
        <v>8249</v>
      </c>
      <c r="I9" s="648">
        <v>12437</v>
      </c>
      <c r="J9" s="559">
        <v>46730</v>
      </c>
      <c r="K9" s="648">
        <v>42722</v>
      </c>
      <c r="L9" s="559">
        <v>122068</v>
      </c>
      <c r="M9" s="560">
        <v>174378</v>
      </c>
      <c r="N9" s="559">
        <f>J9*$Z$8</f>
        <v>50982.43</v>
      </c>
      <c r="O9" s="560">
        <f>K9*$Z$8</f>
        <v>46609.701999999997</v>
      </c>
      <c r="T9" s="351"/>
      <c r="U9" s="351"/>
      <c r="V9" s="351"/>
      <c r="W9" s="352"/>
      <c r="X9" s="352"/>
      <c r="Y9" s="352"/>
      <c r="Z9" s="353"/>
      <c r="AA9" s="353"/>
      <c r="AB9" s="353"/>
    </row>
    <row r="10" spans="1:28">
      <c r="B10" s="942"/>
      <c r="C10" s="45" t="s">
        <v>38</v>
      </c>
      <c r="D10" s="523">
        <v>2</v>
      </c>
      <c r="E10" s="524">
        <v>0</v>
      </c>
      <c r="F10" s="862">
        <v>2</v>
      </c>
      <c r="G10" s="649">
        <v>0</v>
      </c>
      <c r="H10" s="650">
        <v>482</v>
      </c>
      <c r="I10" s="524">
        <v>0</v>
      </c>
      <c r="J10" s="559">
        <v>2217.1999999999998</v>
      </c>
      <c r="K10" s="524">
        <v>0</v>
      </c>
      <c r="L10" s="559">
        <v>4434.3999999999996</v>
      </c>
      <c r="M10" s="524">
        <v>0</v>
      </c>
      <c r="N10" s="559">
        <f>J10*$Z$11</f>
        <v>2387.9243999999999</v>
      </c>
      <c r="O10" s="524">
        <f>K10*$Z$11</f>
        <v>0</v>
      </c>
      <c r="T10" s="351"/>
      <c r="U10" s="351"/>
      <c r="V10" s="351"/>
      <c r="W10" s="352"/>
      <c r="X10" s="352"/>
      <c r="Y10" s="352"/>
      <c r="Z10" s="353"/>
      <c r="AA10" s="353"/>
      <c r="AB10" s="353"/>
    </row>
    <row r="11" spans="1:28" ht="15" thickBot="1">
      <c r="B11" s="943"/>
      <c r="C11" s="354" t="s">
        <v>39</v>
      </c>
      <c r="D11" s="561">
        <v>0</v>
      </c>
      <c r="E11" s="562">
        <v>0</v>
      </c>
      <c r="F11" s="651">
        <v>0</v>
      </c>
      <c r="G11" s="652">
        <v>0</v>
      </c>
      <c r="H11" s="561">
        <v>0</v>
      </c>
      <c r="I11" s="562">
        <v>0</v>
      </c>
      <c r="J11" s="561">
        <v>0</v>
      </c>
      <c r="K11" s="562">
        <v>0</v>
      </c>
      <c r="L11" s="561">
        <v>0</v>
      </c>
      <c r="M11" s="562">
        <v>0</v>
      </c>
      <c r="N11" s="561">
        <f>J11*$Z$9</f>
        <v>0</v>
      </c>
      <c r="O11" s="562">
        <f>K11*$Z$9</f>
        <v>0</v>
      </c>
      <c r="T11" s="351"/>
      <c r="U11" s="351"/>
      <c r="V11" s="351"/>
      <c r="W11" s="352"/>
      <c r="X11" s="352"/>
      <c r="Y11" s="352"/>
      <c r="Z11" s="353"/>
      <c r="AA11" s="353"/>
      <c r="AB11" s="353"/>
    </row>
    <row r="12" spans="1:28" s="9" customFormat="1" ht="15" thickBot="1">
      <c r="B12" s="355" t="s">
        <v>239</v>
      </c>
      <c r="C12" s="356"/>
      <c r="D12" s="370">
        <f>SUM(D8:D11)</f>
        <v>230</v>
      </c>
      <c r="E12" s="510">
        <f t="shared" ref="E12:I12" si="0">SUM(E8:E11)</f>
        <v>87</v>
      </c>
      <c r="F12" s="357">
        <f t="shared" si="0"/>
        <v>1797.8739</v>
      </c>
      <c r="G12" s="358">
        <f>SUM(G8:G11)</f>
        <v>2281.578</v>
      </c>
      <c r="H12" s="370">
        <f t="shared" si="0"/>
        <v>9109</v>
      </c>
      <c r="I12" s="510">
        <f t="shared" si="0"/>
        <v>12437</v>
      </c>
      <c r="J12" s="370">
        <f t="shared" ref="J12:M12" si="1">SUM(J8:J11)</f>
        <v>54265.2</v>
      </c>
      <c r="K12" s="510">
        <f t="shared" si="1"/>
        <v>42722</v>
      </c>
      <c r="L12" s="370">
        <f t="shared" si="1"/>
        <v>132117.4</v>
      </c>
      <c r="M12" s="371">
        <f t="shared" si="1"/>
        <v>174378</v>
      </c>
      <c r="N12" s="370">
        <f>SUM(N8:N11)</f>
        <v>59215.354399999997</v>
      </c>
      <c r="O12" s="371">
        <f>SUM(O8:O11)</f>
        <v>46609.701999999997</v>
      </c>
      <c r="P12"/>
      <c r="Q12"/>
      <c r="R12"/>
      <c r="S12"/>
      <c r="T12" s="351"/>
      <c r="U12" s="351"/>
      <c r="V12" s="351"/>
      <c r="W12" s="352"/>
      <c r="X12" s="352"/>
      <c r="Y12" s="352"/>
      <c r="Z12" s="353"/>
      <c r="AA12" s="353"/>
      <c r="AB12" s="353"/>
    </row>
    <row r="13" spans="1:28" ht="15" thickBot="1">
      <c r="B13" s="55"/>
      <c r="C13" s="64"/>
      <c r="D13" s="511"/>
      <c r="E13" s="512"/>
      <c r="F13" s="513"/>
      <c r="G13" s="514"/>
      <c r="H13" s="511"/>
      <c r="I13" s="512"/>
      <c r="J13" s="515"/>
      <c r="K13" s="516"/>
      <c r="L13" s="515"/>
      <c r="M13" s="517"/>
      <c r="N13" s="515"/>
      <c r="O13" s="517"/>
    </row>
    <row r="14" spans="1:28">
      <c r="B14" s="944" t="s">
        <v>40</v>
      </c>
      <c r="C14" s="68" t="s">
        <v>37</v>
      </c>
      <c r="D14" s="518">
        <v>0</v>
      </c>
      <c r="E14" s="519">
        <v>0</v>
      </c>
      <c r="F14" s="520">
        <v>0</v>
      </c>
      <c r="G14" s="521">
        <v>0</v>
      </c>
      <c r="H14" s="518">
        <v>0</v>
      </c>
      <c r="I14" s="519">
        <v>0</v>
      </c>
      <c r="J14" s="518">
        <v>0</v>
      </c>
      <c r="K14" s="519">
        <v>0</v>
      </c>
      <c r="L14" s="518">
        <v>0</v>
      </c>
      <c r="M14" s="522">
        <v>0</v>
      </c>
      <c r="N14" s="523">
        <f>J14*$Z$7</f>
        <v>0</v>
      </c>
      <c r="O14" s="524">
        <f>K14*$Z$7</f>
        <v>0</v>
      </c>
    </row>
    <row r="15" spans="1:28" ht="15.75" customHeight="1" thickBot="1">
      <c r="B15" s="945"/>
      <c r="C15" s="67" t="s">
        <v>39</v>
      </c>
      <c r="D15" s="525">
        <v>0</v>
      </c>
      <c r="E15" s="526">
        <v>0</v>
      </c>
      <c r="F15" s="527">
        <v>0</v>
      </c>
      <c r="G15" s="528">
        <v>0</v>
      </c>
      <c r="H15" s="525">
        <v>0</v>
      </c>
      <c r="I15" s="526">
        <v>0</v>
      </c>
      <c r="J15" s="525">
        <v>0</v>
      </c>
      <c r="K15" s="526">
        <v>0</v>
      </c>
      <c r="L15" s="525">
        <v>0</v>
      </c>
      <c r="M15" s="529">
        <v>0</v>
      </c>
      <c r="N15" s="530">
        <f>J15*$Z$7</f>
        <v>0</v>
      </c>
      <c r="O15" s="531">
        <f>K15*$Z$7</f>
        <v>0</v>
      </c>
    </row>
    <row r="16" spans="1:28" ht="15" thickBot="1">
      <c r="B16" s="355" t="s">
        <v>171</v>
      </c>
      <c r="C16" s="356"/>
      <c r="D16" s="355"/>
      <c r="E16" s="363"/>
      <c r="F16" s="364"/>
      <c r="G16" s="365"/>
      <c r="H16" s="355"/>
      <c r="I16" s="366"/>
      <c r="J16" s="532"/>
      <c r="K16" s="367"/>
      <c r="L16" s="532"/>
      <c r="M16" s="366"/>
      <c r="N16" s="532"/>
      <c r="O16" s="366"/>
    </row>
    <row r="17" spans="2:15" ht="15" thickBot="1">
      <c r="B17" s="75" t="s">
        <v>271</v>
      </c>
      <c r="C17" s="76"/>
      <c r="D17" s="533" t="s">
        <v>109</v>
      </c>
      <c r="E17" s="534" t="s">
        <v>109</v>
      </c>
      <c r="F17" s="535" t="s">
        <v>109</v>
      </c>
      <c r="G17" s="536" t="s">
        <v>109</v>
      </c>
      <c r="H17" s="533" t="s">
        <v>109</v>
      </c>
      <c r="I17" s="537" t="s">
        <v>109</v>
      </c>
      <c r="J17" s="538" t="s">
        <v>109</v>
      </c>
      <c r="K17" s="539" t="s">
        <v>109</v>
      </c>
      <c r="L17" s="538" t="s">
        <v>109</v>
      </c>
      <c r="M17" s="537" t="s">
        <v>109</v>
      </c>
      <c r="N17" s="538" t="s">
        <v>109</v>
      </c>
      <c r="O17" s="537" t="s">
        <v>109</v>
      </c>
    </row>
    <row r="18" spans="2:15" ht="15" thickBot="1">
      <c r="B18" s="18" t="s">
        <v>262</v>
      </c>
      <c r="C18" s="62"/>
      <c r="D18" s="133" t="s">
        <v>109</v>
      </c>
      <c r="E18" s="134" t="s">
        <v>109</v>
      </c>
      <c r="F18" s="122" t="s">
        <v>109</v>
      </c>
      <c r="G18" s="146" t="s">
        <v>109</v>
      </c>
      <c r="H18" s="133" t="s">
        <v>109</v>
      </c>
      <c r="I18" s="132" t="s">
        <v>109</v>
      </c>
      <c r="J18" s="102">
        <f>SUM(J17)</f>
        <v>0</v>
      </c>
      <c r="K18" s="121">
        <f t="shared" ref="K18:O18" si="2">SUM(K17)</f>
        <v>0</v>
      </c>
      <c r="L18" s="102">
        <f t="shared" si="2"/>
        <v>0</v>
      </c>
      <c r="M18" s="132">
        <f t="shared" si="2"/>
        <v>0</v>
      </c>
      <c r="N18" s="102">
        <f t="shared" si="2"/>
        <v>0</v>
      </c>
      <c r="O18" s="132">
        <f t="shared" si="2"/>
        <v>0</v>
      </c>
    </row>
    <row r="19" spans="2:15" ht="15" thickBot="1">
      <c r="B19" s="55"/>
      <c r="C19" s="64"/>
      <c r="D19" s="511"/>
      <c r="E19" s="512"/>
      <c r="F19" s="513"/>
      <c r="G19" s="514"/>
      <c r="H19" s="511"/>
      <c r="I19" s="512"/>
      <c r="J19" s="515"/>
      <c r="K19" s="516"/>
      <c r="L19" s="515"/>
      <c r="M19" s="517"/>
      <c r="N19" s="515"/>
      <c r="O19" s="517"/>
    </row>
    <row r="20" spans="2:15" ht="15" thickBot="1">
      <c r="B20" s="355" t="s">
        <v>243</v>
      </c>
      <c r="C20" s="367"/>
      <c r="D20" s="368"/>
      <c r="E20" s="369"/>
      <c r="F20" s="147">
        <v>0</v>
      </c>
      <c r="G20" s="148">
        <v>0</v>
      </c>
      <c r="H20" s="368"/>
      <c r="I20" s="369"/>
      <c r="J20" s="370">
        <f t="shared" ref="J20:O20" si="3">SUM(J18,J14:J15,J12)</f>
        <v>54265.2</v>
      </c>
      <c r="K20" s="510">
        <f t="shared" si="3"/>
        <v>42722</v>
      </c>
      <c r="L20" s="370">
        <f t="shared" si="3"/>
        <v>132117.4</v>
      </c>
      <c r="M20" s="371">
        <f t="shared" si="3"/>
        <v>174378</v>
      </c>
      <c r="N20" s="370">
        <f t="shared" si="3"/>
        <v>59215.354399999997</v>
      </c>
      <c r="O20" s="371">
        <f t="shared" si="3"/>
        <v>46609.701999999997</v>
      </c>
    </row>
    <row r="21" spans="2:15" ht="15" thickBot="1">
      <c r="B21" s="222" t="s">
        <v>170</v>
      </c>
      <c r="C21" s="372"/>
      <c r="D21" s="370">
        <f t="shared" ref="D21:I21" si="4">SUM(D18,D14:D15,D12)</f>
        <v>230</v>
      </c>
      <c r="E21" s="510">
        <f t="shared" si="4"/>
        <v>87</v>
      </c>
      <c r="F21" s="147">
        <f t="shared" si="4"/>
        <v>1797.8739</v>
      </c>
      <c r="G21" s="148">
        <f t="shared" si="4"/>
        <v>2281.578</v>
      </c>
      <c r="H21" s="370">
        <f t="shared" si="4"/>
        <v>9109</v>
      </c>
      <c r="I21" s="510">
        <f t="shared" si="4"/>
        <v>12437</v>
      </c>
      <c r="J21" s="540"/>
      <c r="K21" s="541"/>
      <c r="L21" s="540"/>
      <c r="M21" s="542"/>
      <c r="N21" s="540"/>
      <c r="O21" s="542"/>
    </row>
    <row r="23" spans="2:15">
      <c r="E23" s="245"/>
    </row>
  </sheetData>
  <mergeCells count="11">
    <mergeCell ref="J6:K6"/>
    <mergeCell ref="L6:M6"/>
    <mergeCell ref="N6:O6"/>
    <mergeCell ref="B9:B11"/>
    <mergeCell ref="B14:B15"/>
    <mergeCell ref="D4:E4"/>
    <mergeCell ref="F4:G4"/>
    <mergeCell ref="H4:I4"/>
    <mergeCell ref="D6:E6"/>
    <mergeCell ref="F6:G6"/>
    <mergeCell ref="H6:I6"/>
  </mergeCells>
  <pageMargins left="0.25" right="0.25" top="0.75" bottom="0.75" header="0.3" footer="0.3"/>
  <pageSetup scale="82" fitToHeight="0" orientation="landscape" r:id="rId1"/>
  <headerFooter>
    <oddHeader>&amp;CACE Q2 of Program Year 2022 Small Business Reporting Table</oddHeader>
    <oddFooter>&amp;C&amp;N&amp;R&amp;D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Q18"/>
  <sheetViews>
    <sheetView showGridLines="0" zoomScaleNormal="100" zoomScaleSheetLayoutView="70" workbookViewId="0">
      <selection activeCell="F39" sqref="F39"/>
    </sheetView>
  </sheetViews>
  <sheetFormatPr defaultRowHeight="14.5"/>
  <cols>
    <col min="1" max="1" width="4.453125" customWidth="1"/>
    <col min="2" max="2" width="14.26953125" customWidth="1"/>
    <col min="3" max="3" width="16.1796875" customWidth="1"/>
    <col min="4" max="4" width="18.81640625" customWidth="1"/>
    <col min="5" max="5" width="14.453125" customWidth="1"/>
    <col min="6" max="6" width="17.7265625" customWidth="1"/>
    <col min="7" max="7" width="18.81640625" customWidth="1"/>
    <col min="8" max="10" width="18.54296875" customWidth="1"/>
    <col min="11" max="12" width="21" customWidth="1"/>
    <col min="13" max="14" width="20.7265625" customWidth="1"/>
    <col min="16" max="16" width="21.7265625" customWidth="1"/>
    <col min="17" max="17" width="16.54296875" customWidth="1"/>
  </cols>
  <sheetData>
    <row r="1" spans="1:17" ht="24.5">
      <c r="A1" s="255"/>
      <c r="B1" s="256"/>
      <c r="C1" s="257"/>
      <c r="D1" s="257"/>
      <c r="E1" s="256"/>
      <c r="F1" s="256"/>
      <c r="G1" s="256"/>
      <c r="H1" s="256"/>
      <c r="I1" s="256"/>
      <c r="J1" s="256"/>
      <c r="K1" s="256"/>
      <c r="L1" s="256"/>
      <c r="M1" s="256"/>
      <c r="N1" s="256"/>
      <c r="O1" s="258"/>
      <c r="P1" s="259"/>
    </row>
    <row r="2" spans="1:17" ht="17">
      <c r="A2" s="256"/>
      <c r="B2" s="260" t="s">
        <v>272</v>
      </c>
      <c r="C2" s="261"/>
      <c r="D2" s="261"/>
      <c r="E2" s="256"/>
      <c r="F2" s="256"/>
      <c r="G2" s="256"/>
      <c r="H2" s="256"/>
      <c r="I2" s="256"/>
      <c r="J2" s="256"/>
      <c r="K2" s="256"/>
      <c r="L2" s="256"/>
      <c r="M2" s="256"/>
      <c r="N2" s="256"/>
      <c r="O2" s="258"/>
      <c r="P2" s="259"/>
    </row>
    <row r="3" spans="1:17" ht="17.5" thickBot="1">
      <c r="A3" s="256"/>
      <c r="B3" s="260" t="s">
        <v>185</v>
      </c>
      <c r="C3" s="260"/>
      <c r="D3" s="257"/>
      <c r="E3" s="256"/>
      <c r="F3" s="256"/>
      <c r="G3" s="256"/>
      <c r="H3" s="256"/>
      <c r="I3" s="256"/>
      <c r="J3" s="256"/>
      <c r="K3" s="256"/>
      <c r="L3" s="256"/>
      <c r="M3" s="256"/>
      <c r="N3" s="256"/>
      <c r="O3" s="258"/>
      <c r="P3" s="259"/>
    </row>
    <row r="4" spans="1:17" ht="18.75" customHeight="1">
      <c r="A4" s="256"/>
      <c r="B4" s="946" t="s">
        <v>273</v>
      </c>
      <c r="C4" s="947"/>
      <c r="D4" s="947"/>
      <c r="E4" s="947"/>
      <c r="F4" s="947"/>
      <c r="G4" s="947"/>
      <c r="H4" s="947"/>
      <c r="I4" s="947"/>
      <c r="J4" s="947"/>
      <c r="K4" s="947"/>
      <c r="L4" s="947"/>
      <c r="M4" s="947"/>
      <c r="N4" s="948"/>
      <c r="O4" s="258"/>
      <c r="P4" s="259"/>
    </row>
    <row r="5" spans="1:17" ht="17.5" thickBot="1">
      <c r="A5" s="256"/>
      <c r="B5" s="949"/>
      <c r="C5" s="950"/>
      <c r="D5" s="950"/>
      <c r="E5" s="950"/>
      <c r="F5" s="950"/>
      <c r="G5" s="950"/>
      <c r="H5" s="950"/>
      <c r="I5" s="950"/>
      <c r="J5" s="950"/>
      <c r="K5" s="950"/>
      <c r="L5" s="950"/>
      <c r="M5" s="950"/>
      <c r="N5" s="951"/>
      <c r="O5" s="258"/>
      <c r="P5" s="259"/>
    </row>
    <row r="6" spans="1:17" ht="62">
      <c r="A6" s="262"/>
      <c r="B6" s="263" t="s">
        <v>274</v>
      </c>
      <c r="C6" s="264" t="s">
        <v>275</v>
      </c>
      <c r="D6" s="264" t="s">
        <v>276</v>
      </c>
      <c r="E6" s="264" t="s">
        <v>277</v>
      </c>
      <c r="F6" s="265" t="s">
        <v>278</v>
      </c>
      <c r="G6" s="264" t="s">
        <v>279</v>
      </c>
      <c r="H6" s="266" t="s">
        <v>280</v>
      </c>
      <c r="I6" s="267" t="s">
        <v>281</v>
      </c>
      <c r="J6" s="267" t="s">
        <v>282</v>
      </c>
      <c r="K6" s="267" t="s">
        <v>283</v>
      </c>
      <c r="L6" s="267" t="s">
        <v>284</v>
      </c>
      <c r="M6" s="268" t="s">
        <v>285</v>
      </c>
      <c r="N6" s="269" t="s">
        <v>286</v>
      </c>
      <c r="O6" s="258"/>
      <c r="P6" s="270"/>
    </row>
    <row r="7" spans="1:17" ht="30.75" customHeight="1">
      <c r="A7" s="262"/>
      <c r="B7" s="271"/>
      <c r="C7" s="272"/>
      <c r="D7" s="272"/>
      <c r="E7" s="273" t="s">
        <v>51</v>
      </c>
      <c r="F7" s="273" t="s">
        <v>52</v>
      </c>
      <c r="G7" s="273" t="s">
        <v>287</v>
      </c>
      <c r="H7" s="274" t="s">
        <v>288</v>
      </c>
      <c r="I7" s="274" t="s">
        <v>55</v>
      </c>
      <c r="J7" s="274" t="s">
        <v>289</v>
      </c>
      <c r="K7" s="274" t="s">
        <v>290</v>
      </c>
      <c r="L7" s="274" t="s">
        <v>291</v>
      </c>
      <c r="M7" s="274" t="s">
        <v>292</v>
      </c>
      <c r="N7" s="275" t="s">
        <v>293</v>
      </c>
      <c r="O7" s="258"/>
      <c r="P7" s="270"/>
    </row>
    <row r="8" spans="1:17" ht="17">
      <c r="A8" s="262"/>
      <c r="B8" s="276"/>
      <c r="C8" s="277"/>
      <c r="D8" s="277"/>
      <c r="E8" s="277"/>
      <c r="F8" s="277"/>
      <c r="G8" s="277"/>
      <c r="H8" s="277"/>
      <c r="I8" s="277"/>
      <c r="J8" s="277"/>
      <c r="K8" s="277"/>
      <c r="L8" s="277"/>
      <c r="M8" s="406"/>
      <c r="N8" s="278"/>
      <c r="O8" s="258"/>
      <c r="P8" s="245"/>
    </row>
    <row r="9" spans="1:17" ht="17">
      <c r="A9" s="256"/>
      <c r="B9" s="279" t="s">
        <v>19</v>
      </c>
      <c r="C9" s="280">
        <v>2020</v>
      </c>
      <c r="D9" s="280" t="s">
        <v>294</v>
      </c>
      <c r="E9" s="281">
        <v>9434778.5099999998</v>
      </c>
      <c r="F9" s="281">
        <f>543481+435595</f>
        <v>979076</v>
      </c>
      <c r="G9" s="281">
        <f>E9-F9</f>
        <v>8455702.5099999998</v>
      </c>
      <c r="H9" s="281"/>
      <c r="I9" s="281"/>
      <c r="J9" s="281"/>
      <c r="K9" s="281"/>
      <c r="L9" s="281"/>
      <c r="M9" s="282"/>
      <c r="N9" s="283"/>
      <c r="O9" s="258"/>
      <c r="P9" s="284"/>
      <c r="Q9" s="245"/>
    </row>
    <row r="10" spans="1:17" ht="17">
      <c r="A10" s="256"/>
      <c r="B10" s="285"/>
      <c r="C10" s="280">
        <v>2021</v>
      </c>
      <c r="D10" s="280" t="s">
        <v>295</v>
      </c>
      <c r="E10" s="281">
        <v>9725504.6995833125</v>
      </c>
      <c r="F10" s="281">
        <f>467346+487282</f>
        <v>954628</v>
      </c>
      <c r="G10" s="281">
        <f>E10-F10</f>
        <v>8770876.6995833125</v>
      </c>
      <c r="H10" s="281"/>
      <c r="I10" s="281"/>
      <c r="J10" s="281"/>
      <c r="K10" s="281"/>
      <c r="L10" s="281"/>
      <c r="M10" s="282"/>
      <c r="N10" s="283"/>
      <c r="O10" s="258"/>
      <c r="P10" s="284"/>
    </row>
    <row r="11" spans="1:17" ht="17">
      <c r="A11" s="256"/>
      <c r="B11" s="279"/>
      <c r="C11" s="280">
        <v>2022</v>
      </c>
      <c r="D11" s="280" t="s">
        <v>296</v>
      </c>
      <c r="E11" s="281">
        <v>10200284</v>
      </c>
      <c r="F11" s="281">
        <f>743583+663446</f>
        <v>1407029</v>
      </c>
      <c r="G11" s="281">
        <f>E11-F11</f>
        <v>8793255</v>
      </c>
      <c r="H11" s="281"/>
      <c r="I11" s="281"/>
      <c r="J11" s="281"/>
      <c r="K11" s="281"/>
      <c r="L11" s="281"/>
      <c r="M11" s="282"/>
      <c r="N11" s="283"/>
      <c r="O11" s="258"/>
      <c r="P11" s="259"/>
    </row>
    <row r="12" spans="1:17" ht="17.5" thickBot="1">
      <c r="A12" s="259"/>
      <c r="B12" s="286"/>
      <c r="C12" s="287" t="s">
        <v>297</v>
      </c>
      <c r="D12" s="287" t="s">
        <v>298</v>
      </c>
      <c r="E12" s="288"/>
      <c r="F12" s="288">
        <v>0</v>
      </c>
      <c r="G12" s="288">
        <f>E12-F12</f>
        <v>0</v>
      </c>
      <c r="H12" s="288">
        <f>AVERAGE(G9:G11)</f>
        <v>8673278.0698611047</v>
      </c>
      <c r="I12" s="289">
        <v>1.0999999999999999E-2</v>
      </c>
      <c r="J12" s="288">
        <f>I12*H12</f>
        <v>95406.058768472139</v>
      </c>
      <c r="K12" s="289">
        <v>3.5999999999999999E-3</v>
      </c>
      <c r="L12" s="288">
        <f>K12*H12</f>
        <v>31223.801051499977</v>
      </c>
      <c r="M12" s="290">
        <v>7.4000000000000003E-3</v>
      </c>
      <c r="N12" s="317">
        <f>M12*H12</f>
        <v>64182.257716972177</v>
      </c>
      <c r="O12" s="258"/>
      <c r="P12" s="259"/>
    </row>
    <row r="13" spans="1:17" ht="17">
      <c r="A13" s="256"/>
      <c r="B13" s="291"/>
      <c r="C13" s="292"/>
      <c r="D13" s="292"/>
      <c r="E13" s="293"/>
      <c r="F13" s="294"/>
      <c r="G13" s="294"/>
      <c r="H13" s="295"/>
      <c r="I13" s="578"/>
      <c r="J13" s="295"/>
      <c r="K13" s="295"/>
      <c r="L13" s="295"/>
      <c r="M13" s="294"/>
      <c r="N13" s="296"/>
      <c r="O13" s="258"/>
      <c r="P13" s="259"/>
    </row>
    <row r="14" spans="1:17" ht="17">
      <c r="A14" s="256"/>
      <c r="B14" s="297" t="s">
        <v>299</v>
      </c>
      <c r="C14" s="298"/>
      <c r="D14" s="298"/>
      <c r="E14" s="299"/>
      <c r="F14" s="299"/>
      <c r="G14" s="299"/>
      <c r="H14" s="299"/>
      <c r="I14" s="299"/>
      <c r="J14" s="299"/>
      <c r="K14" s="299"/>
      <c r="L14" s="299"/>
      <c r="M14" s="299"/>
      <c r="N14" s="299"/>
      <c r="O14" s="258"/>
      <c r="P14" s="259"/>
    </row>
    <row r="15" spans="1:17" ht="17">
      <c r="A15" s="256"/>
      <c r="B15" s="300" t="s">
        <v>300</v>
      </c>
      <c r="C15" s="298"/>
      <c r="D15" s="298"/>
      <c r="E15" s="299"/>
      <c r="F15" s="299"/>
      <c r="G15" s="299"/>
      <c r="H15" s="299"/>
      <c r="I15" s="299"/>
      <c r="J15" s="299"/>
      <c r="K15" s="299"/>
      <c r="L15" s="299"/>
      <c r="M15" s="299"/>
      <c r="N15" s="299"/>
      <c r="O15" s="258"/>
      <c r="P15" s="259"/>
    </row>
    <row r="16" spans="1:17" ht="17">
      <c r="A16" s="256"/>
      <c r="B16" s="300" t="s">
        <v>301</v>
      </c>
      <c r="C16" s="298"/>
      <c r="D16" s="298"/>
      <c r="E16" s="299"/>
      <c r="F16" s="299"/>
      <c r="G16" s="299"/>
      <c r="H16" s="299"/>
      <c r="I16" s="299"/>
      <c r="J16" s="299"/>
      <c r="K16" s="299"/>
      <c r="L16" s="299"/>
      <c r="M16" s="299"/>
      <c r="N16" s="299"/>
      <c r="O16" s="258"/>
      <c r="P16" s="259"/>
    </row>
    <row r="17" spans="1:15" ht="17">
      <c r="A17" s="256"/>
      <c r="B17" s="300" t="s">
        <v>302</v>
      </c>
      <c r="C17" s="298"/>
      <c r="D17" s="298"/>
      <c r="E17" s="299"/>
      <c r="F17" s="299"/>
      <c r="G17" s="299"/>
      <c r="H17" s="299"/>
      <c r="I17" s="299"/>
      <c r="J17" s="299"/>
      <c r="K17" s="299"/>
      <c r="L17" s="299"/>
      <c r="M17" s="299"/>
      <c r="N17" s="299"/>
      <c r="O17" s="258"/>
    </row>
    <row r="18" spans="1:15" ht="17">
      <c r="A18" s="256"/>
      <c r="B18" s="299"/>
      <c r="C18" s="298"/>
      <c r="D18" s="298"/>
      <c r="E18" s="299"/>
      <c r="F18" s="299"/>
      <c r="G18" s="299"/>
      <c r="H18" s="299"/>
      <c r="I18" s="299"/>
      <c r="J18" s="299"/>
      <c r="K18" s="299"/>
      <c r="L18" s="299"/>
      <c r="M18" s="299"/>
      <c r="N18" s="299"/>
      <c r="O18" s="258"/>
    </row>
  </sheetData>
  <mergeCells count="1">
    <mergeCell ref="B4:N5"/>
  </mergeCells>
  <pageMargins left="0.6" right="0.21" top="0.77" bottom="0.74" header="0.5" footer="0.5"/>
  <pageSetup scale="5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S29"/>
  <sheetViews>
    <sheetView showGridLines="0" topLeftCell="A2" zoomScaleNormal="100" workbookViewId="0">
      <selection activeCell="J28" sqref="J28"/>
    </sheetView>
  </sheetViews>
  <sheetFormatPr defaultColWidth="9.1796875" defaultRowHeight="14"/>
  <cols>
    <col min="1" max="1" width="4.81640625" style="302" customWidth="1"/>
    <col min="2" max="2" width="31.26953125" style="302" customWidth="1"/>
    <col min="3" max="3" width="18" style="302" bestFit="1" customWidth="1"/>
    <col min="4" max="4" width="18.1796875" style="302" bestFit="1" customWidth="1"/>
    <col min="5" max="5" width="20.7265625" style="302" bestFit="1" customWidth="1"/>
    <col min="6" max="6" width="9.1796875" style="302"/>
    <col min="7" max="7" width="16.81640625" style="302" customWidth="1"/>
    <col min="8" max="16384" width="9.1796875" style="302"/>
  </cols>
  <sheetData>
    <row r="1" spans="2:19" ht="18">
      <c r="B1" s="301" t="s">
        <v>303</v>
      </c>
    </row>
    <row r="2" spans="2:19" ht="157.5" customHeight="1">
      <c r="B2" s="952" t="s">
        <v>304</v>
      </c>
      <c r="C2" s="952"/>
      <c r="D2" s="952"/>
      <c r="E2" s="952"/>
      <c r="G2" s="303"/>
      <c r="H2" s="303"/>
      <c r="I2" s="303"/>
      <c r="J2" s="303"/>
      <c r="K2" s="303"/>
      <c r="L2" s="303"/>
      <c r="M2" s="303"/>
      <c r="N2" s="303"/>
      <c r="O2" s="303"/>
      <c r="P2" s="303"/>
      <c r="Q2" s="303"/>
      <c r="R2" s="303"/>
      <c r="S2" s="303"/>
    </row>
    <row r="3" spans="2:19" ht="15.5">
      <c r="B3" s="304"/>
    </row>
    <row r="4" spans="2:19" customFormat="1" ht="26.25" customHeight="1">
      <c r="B4" s="954" t="s">
        <v>305</v>
      </c>
      <c r="C4" s="954"/>
      <c r="D4" s="954"/>
      <c r="E4" s="954"/>
    </row>
    <row r="5" spans="2:19" customFormat="1" ht="48">
      <c r="B5" s="373" t="s">
        <v>306</v>
      </c>
      <c r="C5" s="31" t="s">
        <v>307</v>
      </c>
      <c r="D5" s="31" t="s">
        <v>107</v>
      </c>
      <c r="E5" s="188" t="s">
        <v>108</v>
      </c>
      <c r="H5" s="180" t="s">
        <v>308</v>
      </c>
      <c r="I5" s="180" t="s">
        <v>309</v>
      </c>
    </row>
    <row r="6" spans="2:19" customFormat="1" ht="14.5">
      <c r="B6" s="194" t="s">
        <v>20</v>
      </c>
      <c r="C6" s="653">
        <v>46473.782099999997</v>
      </c>
      <c r="D6" s="653">
        <f>'Ap B - Qtr Electric Master'!M19</f>
        <v>19881.583999999999</v>
      </c>
      <c r="E6" s="840">
        <f>C6/D6</f>
        <v>2.3375291475769737</v>
      </c>
      <c r="G6" s="13" t="s">
        <v>310</v>
      </c>
      <c r="H6" s="305">
        <f>$C$9</f>
        <v>68765.679899999988</v>
      </c>
      <c r="I6" s="305">
        <f>$C$16</f>
        <v>54839.80298</v>
      </c>
    </row>
    <row r="7" spans="2:19" customFormat="1" ht="14.5">
      <c r="B7" s="194" t="s">
        <v>89</v>
      </c>
      <c r="C7" s="653">
        <v>745.07029999999997</v>
      </c>
      <c r="D7" s="653">
        <f>'Ap B - Qtr Electric Master'!M32</f>
        <v>2298.1190000000001</v>
      </c>
      <c r="E7" s="840">
        <f>C7/D7</f>
        <v>0.32420875507317071</v>
      </c>
      <c r="H7" s="839"/>
      <c r="I7" s="246"/>
    </row>
    <row r="8" spans="2:19" customFormat="1" ht="14.5">
      <c r="B8" s="194" t="s">
        <v>101</v>
      </c>
      <c r="C8" s="653">
        <v>21546.827499999999</v>
      </c>
      <c r="D8" s="653">
        <f>'Ap B - Qtr Electric Master'!M26</f>
        <v>37376.024832112467</v>
      </c>
      <c r="E8" s="840">
        <f>C8/D8</f>
        <v>0.57648793837186108</v>
      </c>
      <c r="G8" t="s">
        <v>311</v>
      </c>
    </row>
    <row r="9" spans="2:19" customFormat="1" ht="29">
      <c r="B9" s="187" t="s">
        <v>91</v>
      </c>
      <c r="C9" s="191">
        <f>SUM(C6:C8)</f>
        <v>68765.679899999988</v>
      </c>
      <c r="D9" s="191">
        <f>SUM(D6:D8)</f>
        <v>59555.727832112461</v>
      </c>
      <c r="E9" s="190">
        <f>C9/D9</f>
        <v>1.1546442702178097</v>
      </c>
    </row>
    <row r="10" spans="2:19" customFormat="1" ht="14.5"/>
    <row r="11" spans="2:19" customFormat="1" ht="27" customHeight="1">
      <c r="B11" s="954" t="s">
        <v>312</v>
      </c>
      <c r="C11" s="954"/>
      <c r="D11" s="954"/>
      <c r="E11" s="954"/>
    </row>
    <row r="12" spans="2:19" customFormat="1" ht="24">
      <c r="B12" s="373" t="s">
        <v>306</v>
      </c>
      <c r="C12" s="31" t="s">
        <v>307</v>
      </c>
      <c r="D12" s="31" t="s">
        <v>107</v>
      </c>
      <c r="E12" s="188" t="s">
        <v>108</v>
      </c>
    </row>
    <row r="13" spans="2:19" customFormat="1" ht="14.5">
      <c r="B13" s="194" t="s">
        <v>20</v>
      </c>
      <c r="C13" s="653">
        <v>32681.444100000001</v>
      </c>
      <c r="D13" s="653">
        <f>'Ap B - Qtr Electric Master'!M19</f>
        <v>19881.583999999999</v>
      </c>
      <c r="E13" s="840">
        <f>C13/D13</f>
        <v>1.6438048447246458</v>
      </c>
    </row>
    <row r="14" spans="2:19" customFormat="1" ht="14.5">
      <c r="B14" s="194" t="s">
        <v>89</v>
      </c>
      <c r="C14" s="653">
        <v>619.04237999999998</v>
      </c>
      <c r="D14" s="653">
        <f>'Ap B - Qtr Electric Master'!M32</f>
        <v>2298.1190000000001</v>
      </c>
      <c r="E14" s="840">
        <f>C14/D14</f>
        <v>0.26936915799399419</v>
      </c>
    </row>
    <row r="15" spans="2:19" customFormat="1" ht="14.5">
      <c r="B15" s="194" t="s">
        <v>101</v>
      </c>
      <c r="C15" s="653">
        <v>21539.316500000001</v>
      </c>
      <c r="D15" s="653">
        <f>'Ap B - Qtr Electric Master'!M26</f>
        <v>37376.024832112467</v>
      </c>
      <c r="E15" s="840">
        <f>C15/D15</f>
        <v>0.57628698067147055</v>
      </c>
    </row>
    <row r="16" spans="2:19" customFormat="1" ht="29">
      <c r="B16" s="187" t="s">
        <v>91</v>
      </c>
      <c r="C16" s="191">
        <f>SUM(C13:C15)</f>
        <v>54839.80298</v>
      </c>
      <c r="D16" s="191">
        <f>SUM(D13:D15)</f>
        <v>59555.727832112461</v>
      </c>
      <c r="E16" s="190">
        <f>C16/D16</f>
        <v>0.92081492370630336</v>
      </c>
    </row>
    <row r="17" spans="2:7" customFormat="1" ht="15" customHeight="1">
      <c r="B17" s="953" t="s">
        <v>313</v>
      </c>
      <c r="C17" s="953"/>
      <c r="D17" s="953"/>
      <c r="G17" s="302"/>
    </row>
    <row r="18" spans="2:7" customFormat="1" ht="51.75" customHeight="1">
      <c r="B18" s="953"/>
      <c r="C18" s="953"/>
      <c r="D18" s="953"/>
    </row>
    <row r="19" spans="2:7" customFormat="1" ht="14.5">
      <c r="B19" s="306"/>
      <c r="C19" s="239"/>
      <c r="D19" s="239"/>
      <c r="E19" s="239"/>
    </row>
    <row r="20" spans="2:7" customFormat="1" ht="14.5">
      <c r="B20" s="243"/>
      <c r="C20" s="34"/>
      <c r="D20" s="34"/>
      <c r="E20" s="307"/>
    </row>
    <row r="21" spans="2:7" customFormat="1" ht="14.5">
      <c r="B21" s="243"/>
      <c r="C21" s="34"/>
      <c r="D21" s="34"/>
      <c r="E21" s="307"/>
    </row>
    <row r="22" spans="2:7" customFormat="1" ht="14.5">
      <c r="B22" s="243"/>
      <c r="C22" s="34"/>
      <c r="D22" s="34"/>
      <c r="E22" s="307"/>
    </row>
    <row r="23" spans="2:7" customFormat="1" ht="14.5">
      <c r="B23" s="243"/>
      <c r="C23" s="34"/>
      <c r="D23" s="34"/>
      <c r="E23" s="307"/>
    </row>
    <row r="24" spans="2:7" customFormat="1" ht="14.5">
      <c r="B24" s="243"/>
      <c r="C24" s="34"/>
      <c r="D24" s="34"/>
      <c r="E24" s="307"/>
    </row>
    <row r="25" spans="2:7" customFormat="1" ht="14.5">
      <c r="B25" s="243"/>
      <c r="C25" s="34"/>
      <c r="D25" s="34"/>
      <c r="E25" s="307"/>
    </row>
    <row r="26" spans="2:7" customFormat="1" ht="14.5">
      <c r="B26" s="243"/>
      <c r="C26" s="34"/>
      <c r="D26" s="34"/>
      <c r="E26" s="307"/>
    </row>
    <row r="27" spans="2:7" customFormat="1" ht="14.5">
      <c r="B27" s="243"/>
      <c r="C27" s="34"/>
      <c r="D27" s="34"/>
      <c r="E27" s="307"/>
    </row>
    <row r="28" spans="2:7" customFormat="1" ht="14.5"/>
    <row r="29" spans="2:7" customFormat="1" ht="14.5"/>
  </sheetData>
  <mergeCells count="4">
    <mergeCell ref="B2:E2"/>
    <mergeCell ref="B17:D18"/>
    <mergeCell ref="B11:E11"/>
    <mergeCell ref="B4:E4"/>
  </mergeCells>
  <pageMargins left="0.45" right="0.45" top="0.75" bottom="0.75" header="0.3" footer="0.3"/>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D15"/>
  <sheetViews>
    <sheetView showGridLines="0" zoomScaleNormal="100" workbookViewId="0">
      <selection activeCell="L14" sqref="L14"/>
    </sheetView>
  </sheetViews>
  <sheetFormatPr defaultColWidth="9.1796875" defaultRowHeight="14"/>
  <cols>
    <col min="1" max="1" width="4.1796875" style="302" customWidth="1"/>
    <col min="2" max="2" width="33.453125" style="302" customWidth="1"/>
    <col min="3" max="3" width="36.453125" style="302" customWidth="1"/>
    <col min="4" max="4" width="28" style="302" customWidth="1"/>
    <col min="5" max="16384" width="9.1796875" style="302"/>
  </cols>
  <sheetData>
    <row r="1" spans="2:4" ht="18">
      <c r="B1" s="301" t="s">
        <v>314</v>
      </c>
    </row>
    <row r="2" spans="2:4" ht="85.5" customHeight="1">
      <c r="B2" s="955" t="s">
        <v>315</v>
      </c>
      <c r="C2" s="955"/>
      <c r="D2" s="955"/>
    </row>
    <row r="3" spans="2:4" ht="14.5" thickBot="1"/>
    <row r="4" spans="2:4" ht="21" customHeight="1" thickBot="1">
      <c r="B4" s="956" t="s">
        <v>316</v>
      </c>
      <c r="C4" s="957"/>
      <c r="D4" s="308"/>
    </row>
    <row r="5" spans="2:4" ht="18" customHeight="1" thickBot="1">
      <c r="B5" s="843" t="s">
        <v>8</v>
      </c>
      <c r="C5" s="845" t="s">
        <v>317</v>
      </c>
      <c r="D5" s="309"/>
    </row>
    <row r="6" spans="2:4" ht="30" customHeight="1">
      <c r="B6" s="844" t="s">
        <v>318</v>
      </c>
      <c r="C6" s="127">
        <f>774.18+2349.58179+6523.79200000018</f>
        <v>9647.55379000018</v>
      </c>
    </row>
    <row r="7" spans="2:4" ht="30" customHeight="1">
      <c r="B7" s="842" t="s">
        <v>145</v>
      </c>
      <c r="C7" s="841">
        <v>1682.9780000000001</v>
      </c>
    </row>
    <row r="8" spans="2:4" ht="30" customHeight="1">
      <c r="B8" s="842" t="s">
        <v>30</v>
      </c>
      <c r="C8" s="841">
        <v>3796.529</v>
      </c>
    </row>
    <row r="9" spans="2:4" ht="30" customHeight="1">
      <c r="B9" s="842" t="s">
        <v>31</v>
      </c>
      <c r="C9" s="841">
        <v>1459.4280000000001</v>
      </c>
    </row>
    <row r="10" spans="2:4" ht="30" customHeight="1">
      <c r="B10" s="842" t="s">
        <v>40</v>
      </c>
      <c r="C10" s="841">
        <v>4333</v>
      </c>
    </row>
    <row r="11" spans="2:4" ht="30" customHeight="1">
      <c r="B11" s="842" t="s">
        <v>319</v>
      </c>
      <c r="C11" s="841">
        <v>2078</v>
      </c>
    </row>
    <row r="12" spans="2:4" ht="30" customHeight="1">
      <c r="B12" s="842" t="s">
        <v>320</v>
      </c>
      <c r="C12" s="841">
        <v>0</v>
      </c>
    </row>
    <row r="13" spans="2:4" ht="30" customHeight="1">
      <c r="B13" s="842" t="s">
        <v>321</v>
      </c>
      <c r="C13" s="841">
        <v>1440</v>
      </c>
    </row>
    <row r="14" spans="2:4" ht="30" customHeight="1">
      <c r="B14" s="842" t="s">
        <v>322</v>
      </c>
      <c r="C14" s="841">
        <v>0</v>
      </c>
    </row>
    <row r="15" spans="2:4">
      <c r="B15" s="846" t="s">
        <v>323</v>
      </c>
      <c r="C15" s="847">
        <f>SUM(C6:C14)</f>
        <v>24437.488790000181</v>
      </c>
    </row>
  </sheetData>
  <mergeCells count="2">
    <mergeCell ref="B2:D2"/>
    <mergeCell ref="B4:C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M61"/>
  <sheetViews>
    <sheetView showGridLines="0" topLeftCell="A9" workbookViewId="0">
      <selection activeCell="G1" sqref="G1"/>
    </sheetView>
  </sheetViews>
  <sheetFormatPr defaultRowHeight="14.5"/>
  <cols>
    <col min="1" max="1" width="8.81640625" customWidth="1"/>
    <col min="2" max="2" width="60.81640625" customWidth="1"/>
    <col min="3" max="3" width="13.453125" bestFit="1" customWidth="1"/>
    <col min="4" max="4" width="13.7265625" customWidth="1"/>
    <col min="5" max="5" width="15.453125" customWidth="1"/>
    <col min="6" max="6" width="12" bestFit="1" customWidth="1"/>
    <col min="7" max="7" width="19.1796875" bestFit="1" customWidth="1"/>
    <col min="8" max="8" width="20.54296875" style="4" bestFit="1" customWidth="1"/>
    <col min="9" max="9" width="17.54296875" style="4" bestFit="1" customWidth="1"/>
    <col min="10" max="10" width="21" style="4" bestFit="1" customWidth="1"/>
    <col min="11" max="11" width="23.54296875" style="4" bestFit="1" customWidth="1"/>
    <col min="12" max="12" width="11.54296875" style="4" bestFit="1" customWidth="1"/>
    <col min="13" max="13" width="12.81640625" style="4" bestFit="1" customWidth="1"/>
    <col min="14" max="14" width="14.1796875" customWidth="1"/>
  </cols>
  <sheetData>
    <row r="2" spans="1:13" ht="18.5" thickBot="1">
      <c r="B2" s="301" t="s">
        <v>324</v>
      </c>
    </row>
    <row r="3" spans="1:13" ht="29">
      <c r="A3" s="848"/>
      <c r="B3" s="849"/>
      <c r="C3" s="204" t="s">
        <v>20</v>
      </c>
      <c r="D3" s="203" t="s">
        <v>325</v>
      </c>
      <c r="E3" s="203" t="s">
        <v>326</v>
      </c>
      <c r="F3" s="203" t="s">
        <v>327</v>
      </c>
      <c r="G3" s="202" t="s">
        <v>328</v>
      </c>
      <c r="H3" s="374" t="s">
        <v>21</v>
      </c>
      <c r="I3" s="375" t="s">
        <v>149</v>
      </c>
      <c r="J3" s="375" t="s">
        <v>36</v>
      </c>
      <c r="K3" s="375" t="s">
        <v>28</v>
      </c>
      <c r="L3" s="375" t="s">
        <v>171</v>
      </c>
      <c r="M3" s="376" t="s">
        <v>40</v>
      </c>
    </row>
    <row r="4" spans="1:13">
      <c r="A4" s="850" t="s">
        <v>329</v>
      </c>
      <c r="B4" s="551"/>
      <c r="C4" s="550"/>
      <c r="D4" s="549"/>
      <c r="E4" s="549"/>
      <c r="F4" s="549"/>
      <c r="G4" s="551"/>
      <c r="H4" s="552" t="s">
        <v>330</v>
      </c>
      <c r="I4" s="553" t="s">
        <v>331</v>
      </c>
      <c r="J4" s="553" t="s">
        <v>332</v>
      </c>
      <c r="K4" s="553" t="s">
        <v>333</v>
      </c>
      <c r="L4" s="554"/>
      <c r="M4" s="555"/>
    </row>
    <row r="5" spans="1:13">
      <c r="A5" s="199">
        <v>1</v>
      </c>
      <c r="B5" s="198" t="s">
        <v>334</v>
      </c>
      <c r="C5" s="325">
        <f>SUM(H5,K5)</f>
        <v>0</v>
      </c>
      <c r="D5" s="377">
        <f t="shared" ref="D5:D12" si="0">SUM(I5,J5)</f>
        <v>0</v>
      </c>
      <c r="E5" s="377">
        <f t="shared" ref="E5:E12" si="1">M5</f>
        <v>0</v>
      </c>
      <c r="F5" s="377"/>
      <c r="G5" s="378">
        <f t="shared" ref="G5:G12" si="2">SUM(C5:F5)</f>
        <v>0</v>
      </c>
      <c r="H5" s="322">
        <v>0</v>
      </c>
      <c r="I5" s="4">
        <v>0</v>
      </c>
      <c r="J5" s="4">
        <v>0</v>
      </c>
      <c r="K5" s="4">
        <v>0</v>
      </c>
      <c r="L5" s="4">
        <v>0</v>
      </c>
      <c r="M5" s="323">
        <v>0</v>
      </c>
    </row>
    <row r="6" spans="1:13">
      <c r="A6" s="199">
        <v>2</v>
      </c>
      <c r="B6" s="198" t="s">
        <v>335</v>
      </c>
      <c r="C6" s="325">
        <f>SUM(H6,K6)</f>
        <v>0</v>
      </c>
      <c r="D6" s="377">
        <f t="shared" si="0"/>
        <v>0</v>
      </c>
      <c r="E6" s="377">
        <f t="shared" si="1"/>
        <v>0</v>
      </c>
      <c r="F6" s="377"/>
      <c r="G6" s="378">
        <f t="shared" si="2"/>
        <v>0</v>
      </c>
      <c r="H6" s="322">
        <v>0</v>
      </c>
      <c r="I6" s="4">
        <v>0</v>
      </c>
      <c r="J6" s="4">
        <v>0</v>
      </c>
      <c r="K6" s="4">
        <v>0</v>
      </c>
      <c r="L6" s="4">
        <v>0</v>
      </c>
      <c r="M6" s="323">
        <v>0</v>
      </c>
    </row>
    <row r="7" spans="1:13">
      <c r="A7" s="199">
        <v>3</v>
      </c>
      <c r="B7" s="198" t="s">
        <v>336</v>
      </c>
      <c r="C7" s="325">
        <f>SUM(H7,K7)</f>
        <v>0</v>
      </c>
      <c r="D7" s="377">
        <f t="shared" si="0"/>
        <v>0</v>
      </c>
      <c r="E7" s="377">
        <f t="shared" si="1"/>
        <v>0</v>
      </c>
      <c r="F7" s="377"/>
      <c r="G7" s="378">
        <f t="shared" si="2"/>
        <v>0</v>
      </c>
      <c r="H7" s="825">
        <v>0</v>
      </c>
      <c r="I7" s="826">
        <v>0</v>
      </c>
      <c r="J7" s="826">
        <v>0</v>
      </c>
      <c r="K7" s="826">
        <v>0</v>
      </c>
      <c r="L7" s="826">
        <v>0</v>
      </c>
      <c r="M7" s="827">
        <v>0</v>
      </c>
    </row>
    <row r="8" spans="1:13">
      <c r="A8" s="199">
        <v>4</v>
      </c>
      <c r="B8" s="198" t="s">
        <v>337</v>
      </c>
      <c r="C8" s="325">
        <f>SUM(H8,K8,L8)</f>
        <v>7410027.5782999992</v>
      </c>
      <c r="D8" s="377">
        <f t="shared" si="0"/>
        <v>12532716.900700001</v>
      </c>
      <c r="E8" s="377">
        <f t="shared" si="1"/>
        <v>300268.39899999998</v>
      </c>
      <c r="F8" s="377"/>
      <c r="G8" s="378">
        <f t="shared" si="2"/>
        <v>20243012.878000002</v>
      </c>
      <c r="H8" s="825">
        <v>6200023.6909999996</v>
      </c>
      <c r="I8" s="826">
        <v>238355.17069999999</v>
      </c>
      <c r="J8" s="826">
        <v>12294361.73</v>
      </c>
      <c r="K8" s="826">
        <v>818648.08730000001</v>
      </c>
      <c r="L8" s="826">
        <v>391355.8</v>
      </c>
      <c r="M8" s="827">
        <v>300268.39899999998</v>
      </c>
    </row>
    <row r="9" spans="1:13">
      <c r="A9" s="199">
        <v>5</v>
      </c>
      <c r="B9" s="198" t="s">
        <v>338</v>
      </c>
      <c r="C9" s="325">
        <f>SUM(H9,K9,L9)</f>
        <v>1210979.83913</v>
      </c>
      <c r="D9" s="377">
        <f t="shared" si="0"/>
        <v>2367460.0354499999</v>
      </c>
      <c r="E9" s="377">
        <f t="shared" si="1"/>
        <v>18162.855650000001</v>
      </c>
      <c r="F9" s="377"/>
      <c r="G9" s="378">
        <f t="shared" si="2"/>
        <v>3596602.7302299994</v>
      </c>
      <c r="H9" s="825">
        <v>937798.47649999999</v>
      </c>
      <c r="I9" s="826">
        <v>64343.354449999999</v>
      </c>
      <c r="J9" s="826">
        <v>2303116.6809999999</v>
      </c>
      <c r="K9" s="826">
        <v>68219.162630000006</v>
      </c>
      <c r="L9" s="826">
        <v>204962.2</v>
      </c>
      <c r="M9" s="827">
        <v>18162.855650000001</v>
      </c>
    </row>
    <row r="10" spans="1:13">
      <c r="A10" s="199">
        <v>6</v>
      </c>
      <c r="B10" s="198" t="s">
        <v>339</v>
      </c>
      <c r="C10" s="325">
        <f>SUM(H10,K10,L10)</f>
        <v>52216.558560000005</v>
      </c>
      <c r="D10" s="377">
        <f t="shared" si="0"/>
        <v>-178097.167105</v>
      </c>
      <c r="E10" s="377">
        <f t="shared" si="1"/>
        <v>95626.193209999998</v>
      </c>
      <c r="F10" s="377"/>
      <c r="G10" s="378">
        <f t="shared" si="2"/>
        <v>-30254.415334999998</v>
      </c>
      <c r="H10" s="825">
        <v>81433.062380000003</v>
      </c>
      <c r="I10" s="826">
        <v>-7200.7877049999997</v>
      </c>
      <c r="J10" s="826">
        <v>-170896.37940000001</v>
      </c>
      <c r="K10" s="826">
        <v>-29216.503820000002</v>
      </c>
      <c r="L10" s="826">
        <v>0</v>
      </c>
      <c r="M10" s="827">
        <v>95626.193209999998</v>
      </c>
    </row>
    <row r="11" spans="1:13">
      <c r="A11" s="199">
        <v>7</v>
      </c>
      <c r="B11" s="198" t="s">
        <v>340</v>
      </c>
      <c r="C11" s="325">
        <f>SUM(H11,K11,L11)</f>
        <v>0</v>
      </c>
      <c r="D11" s="377">
        <f t="shared" si="0"/>
        <v>0</v>
      </c>
      <c r="E11" s="377">
        <f t="shared" si="1"/>
        <v>0</v>
      </c>
      <c r="F11" s="377"/>
      <c r="G11" s="378">
        <f t="shared" si="2"/>
        <v>0</v>
      </c>
      <c r="H11" s="825">
        <v>0</v>
      </c>
      <c r="I11" s="826">
        <v>0</v>
      </c>
      <c r="J11" s="826">
        <v>0</v>
      </c>
      <c r="K11" s="826">
        <v>0</v>
      </c>
      <c r="L11" s="826">
        <v>0</v>
      </c>
      <c r="M11" s="827">
        <v>0</v>
      </c>
    </row>
    <row r="12" spans="1:13">
      <c r="A12" s="199">
        <v>8</v>
      </c>
      <c r="B12" s="198" t="s">
        <v>341</v>
      </c>
      <c r="C12" s="325">
        <f>SUM(H12,K12,L12)</f>
        <v>0</v>
      </c>
      <c r="D12" s="377">
        <f t="shared" si="0"/>
        <v>0</v>
      </c>
      <c r="E12" s="377">
        <f t="shared" si="1"/>
        <v>0</v>
      </c>
      <c r="F12" s="377"/>
      <c r="G12" s="378">
        <f t="shared" si="2"/>
        <v>0</v>
      </c>
      <c r="H12" s="825">
        <v>0</v>
      </c>
      <c r="I12" s="826">
        <v>0</v>
      </c>
      <c r="J12" s="826">
        <v>0</v>
      </c>
      <c r="K12" s="826">
        <v>0</v>
      </c>
      <c r="L12" s="826">
        <v>0</v>
      </c>
      <c r="M12" s="827">
        <v>0</v>
      </c>
    </row>
    <row r="13" spans="1:13">
      <c r="A13" s="199"/>
      <c r="B13" s="200" t="s">
        <v>342</v>
      </c>
      <c r="C13" s="379">
        <f t="shared" ref="C13:M13" si="3">SUM(C5:C12)</f>
        <v>8673223.9759899992</v>
      </c>
      <c r="D13" s="379">
        <f t="shared" si="3"/>
        <v>14722079.769045001</v>
      </c>
      <c r="E13" s="379">
        <f t="shared" si="3"/>
        <v>414057.44785999996</v>
      </c>
      <c r="F13" s="379">
        <f t="shared" si="3"/>
        <v>0</v>
      </c>
      <c r="G13" s="379">
        <f t="shared" si="3"/>
        <v>23809361.192895003</v>
      </c>
      <c r="H13" s="379">
        <f t="shared" si="3"/>
        <v>7219255.2298799995</v>
      </c>
      <c r="I13" s="379">
        <f t="shared" si="3"/>
        <v>295497.73744499998</v>
      </c>
      <c r="J13" s="379">
        <f t="shared" si="3"/>
        <v>14426582.0316</v>
      </c>
      <c r="K13" s="379">
        <f t="shared" si="3"/>
        <v>857650.74611000007</v>
      </c>
      <c r="L13" s="379">
        <f t="shared" si="3"/>
        <v>596318</v>
      </c>
      <c r="M13" s="828">
        <f t="shared" si="3"/>
        <v>414057.44785999996</v>
      </c>
    </row>
    <row r="14" spans="1:13">
      <c r="A14" s="199">
        <v>9</v>
      </c>
      <c r="B14" s="198" t="s">
        <v>343</v>
      </c>
      <c r="C14" s="325">
        <f>SUM(H14,K14,L14)</f>
        <v>6202774.7400000002</v>
      </c>
      <c r="D14" s="377">
        <f>SUM(I14,J14)</f>
        <v>4657426.7200000007</v>
      </c>
      <c r="E14" s="377">
        <f>M14</f>
        <v>768463.5</v>
      </c>
      <c r="F14" s="377"/>
      <c r="G14" s="378">
        <f>SUM(C14:F14)</f>
        <v>11628664.960000001</v>
      </c>
      <c r="H14" s="825">
        <v>3342414.34</v>
      </c>
      <c r="I14" s="826">
        <v>1727610.5</v>
      </c>
      <c r="J14" s="826">
        <v>2929816.22</v>
      </c>
      <c r="K14" s="826">
        <v>2535623.9</v>
      </c>
      <c r="L14" s="826">
        <v>324736.5</v>
      </c>
      <c r="M14" s="827">
        <v>768463.5</v>
      </c>
    </row>
    <row r="15" spans="1:13">
      <c r="A15" s="199">
        <v>10</v>
      </c>
      <c r="B15" s="198" t="s">
        <v>344</v>
      </c>
      <c r="C15" s="325">
        <f>SUM(H15,K15,L15)</f>
        <v>2316296.0896000001</v>
      </c>
      <c r="D15" s="377">
        <f>SUM(I15,J15)</f>
        <v>7950060.7240000004</v>
      </c>
      <c r="E15" s="377">
        <f>M15</f>
        <v>0</v>
      </c>
      <c r="F15" s="377"/>
      <c r="G15" s="378">
        <f>SUM(C15:F15)</f>
        <v>10266356.8136</v>
      </c>
      <c r="H15" s="825">
        <v>1724828.6440000001</v>
      </c>
      <c r="I15" s="826">
        <v>36718.199999999997</v>
      </c>
      <c r="J15" s="826">
        <v>7913342.5240000002</v>
      </c>
      <c r="K15" s="826">
        <v>591467.44559999998</v>
      </c>
      <c r="L15" s="826">
        <v>0</v>
      </c>
      <c r="M15" s="827">
        <v>0</v>
      </c>
    </row>
    <row r="16" spans="1:13">
      <c r="A16" s="199">
        <v>11</v>
      </c>
      <c r="B16" s="198" t="s">
        <v>345</v>
      </c>
      <c r="C16" s="325">
        <f>SUM(H16,K16,L16)</f>
        <v>2789127.7600000002</v>
      </c>
      <c r="D16" s="377">
        <f>SUM(I16,J16)</f>
        <v>4077130.28</v>
      </c>
      <c r="E16" s="377">
        <f>M16</f>
        <v>0</v>
      </c>
      <c r="F16" s="377"/>
      <c r="G16" s="378">
        <f>SUM(C16:F16)</f>
        <v>6866258.04</v>
      </c>
      <c r="H16" s="825">
        <v>2435071.16</v>
      </c>
      <c r="I16" s="826">
        <v>211548</v>
      </c>
      <c r="J16" s="826">
        <v>3865582.28</v>
      </c>
      <c r="K16" s="826">
        <v>354056.6</v>
      </c>
      <c r="L16" s="826">
        <v>0</v>
      </c>
      <c r="M16" s="827">
        <v>0</v>
      </c>
    </row>
    <row r="17" spans="1:13">
      <c r="A17" s="199"/>
      <c r="B17" s="198" t="s">
        <v>346</v>
      </c>
      <c r="C17" s="325">
        <f>SUM(C14:C15)</f>
        <v>8519070.8296000008</v>
      </c>
      <c r="D17" s="377">
        <f>SUM(D14:D15)</f>
        <v>12607487.444000002</v>
      </c>
      <c r="E17" s="377">
        <f>SUM(E14:E15)</f>
        <v>768463.5</v>
      </c>
      <c r="F17" s="377"/>
      <c r="G17" s="378">
        <f>SUM(C17:F17)</f>
        <v>21895021.773600005</v>
      </c>
      <c r="H17" s="825">
        <f t="shared" ref="H17:M17" si="4">SUM(H14:H15)</f>
        <v>5067242.9840000002</v>
      </c>
      <c r="I17" s="826">
        <f t="shared" si="4"/>
        <v>1764328.7</v>
      </c>
      <c r="J17" s="826">
        <f t="shared" si="4"/>
        <v>10843158.744000001</v>
      </c>
      <c r="K17" s="826">
        <f t="shared" si="4"/>
        <v>3127091.3455999997</v>
      </c>
      <c r="L17" s="826">
        <f t="shared" si="4"/>
        <v>324736.5</v>
      </c>
      <c r="M17" s="827">
        <f t="shared" si="4"/>
        <v>768463.5</v>
      </c>
    </row>
    <row r="18" spans="1:13">
      <c r="A18" s="199"/>
      <c r="B18" s="200" t="s">
        <v>347</v>
      </c>
      <c r="C18" s="380">
        <f>IFERROR(C13/C17,0)</f>
        <v>1.0180950657029855</v>
      </c>
      <c r="D18" s="380">
        <f>IFERROR(D13/D17,0)</f>
        <v>1.1677251184613593</v>
      </c>
      <c r="E18" s="380">
        <f>IFERROR(E13/E17,0)</f>
        <v>0.53881212036746051</v>
      </c>
      <c r="F18" s="380">
        <f>IFERROR(F13/F17,0)</f>
        <v>0</v>
      </c>
      <c r="G18" s="380">
        <f>G13/G17</f>
        <v>1.0874326337324414</v>
      </c>
      <c r="H18" s="380">
        <f>H13/H17</f>
        <v>1.424690951800625</v>
      </c>
      <c r="I18" s="380">
        <f>IFERROR(I13/I17, 0)</f>
        <v>0.1674845154675543</v>
      </c>
      <c r="J18" s="380">
        <f>J13/J17</f>
        <v>1.330477803765703</v>
      </c>
      <c r="K18" s="380">
        <f>K13/K17</f>
        <v>0.27426469243271862</v>
      </c>
      <c r="L18" s="380">
        <f>L13/L17</f>
        <v>1.8363134418212921</v>
      </c>
      <c r="M18" s="829">
        <f>M13/M17</f>
        <v>0.53881212036746051</v>
      </c>
    </row>
    <row r="19" spans="1:13">
      <c r="A19" s="199"/>
      <c r="B19" s="198"/>
      <c r="C19" s="199"/>
      <c r="G19" s="198"/>
      <c r="H19" s="322"/>
      <c r="M19" s="323"/>
    </row>
    <row r="20" spans="1:13">
      <c r="A20" s="850" t="s">
        <v>348</v>
      </c>
      <c r="B20" s="551"/>
      <c r="C20" s="550"/>
      <c r="D20" s="549"/>
      <c r="E20" s="549"/>
      <c r="F20" s="549"/>
      <c r="G20" s="551"/>
      <c r="H20" s="556"/>
      <c r="I20" s="554"/>
      <c r="J20" s="554"/>
      <c r="K20" s="554"/>
      <c r="L20" s="554"/>
      <c r="M20" s="555"/>
    </row>
    <row r="21" spans="1:13">
      <c r="A21" s="199">
        <v>12</v>
      </c>
      <c r="B21" s="198" t="s">
        <v>349</v>
      </c>
      <c r="C21" s="325">
        <f>SUM(H21,K21,L21)</f>
        <v>88919372.070999995</v>
      </c>
      <c r="D21" s="377">
        <f>SUM(I21,J21)</f>
        <v>40404456.5436</v>
      </c>
      <c r="E21" s="377">
        <f>M21</f>
        <v>1918656.8259999999</v>
      </c>
      <c r="F21" s="377"/>
      <c r="G21" s="378">
        <f>SUM(C21:F21)</f>
        <v>131242485.44060001</v>
      </c>
      <c r="H21" s="826">
        <v>83304346.319999993</v>
      </c>
      <c r="I21" s="826">
        <v>878948.93359999999</v>
      </c>
      <c r="J21" s="826">
        <v>39525507.609999999</v>
      </c>
      <c r="K21" s="826">
        <v>4034582.7510000002</v>
      </c>
      <c r="L21" s="826">
        <v>1580443</v>
      </c>
      <c r="M21" s="830">
        <v>1918656.8259999999</v>
      </c>
    </row>
    <row r="22" spans="1:13">
      <c r="A22" s="199">
        <v>13</v>
      </c>
      <c r="B22" s="198" t="s">
        <v>350</v>
      </c>
      <c r="C22" s="325">
        <f>SUM(H22,K22,L22)</f>
        <v>4027226.1330000004</v>
      </c>
      <c r="D22" s="377">
        <f>SUM(I22,J22)</f>
        <v>8111557.5099999998</v>
      </c>
      <c r="E22" s="377">
        <f>M22</f>
        <v>0</v>
      </c>
      <c r="F22" s="377"/>
      <c r="G22" s="378">
        <f>SUM(C22:F22)</f>
        <v>12138783.642999999</v>
      </c>
      <c r="H22" s="826">
        <v>3218863.1630000002</v>
      </c>
      <c r="I22" s="826">
        <v>36718.199999999997</v>
      </c>
      <c r="J22" s="826">
        <v>8074839.3099999996</v>
      </c>
      <c r="K22" s="826">
        <v>808362.97</v>
      </c>
      <c r="L22" s="826">
        <v>0</v>
      </c>
      <c r="M22" s="830">
        <v>0</v>
      </c>
    </row>
    <row r="23" spans="1:13">
      <c r="A23" s="199"/>
      <c r="B23" s="200" t="s">
        <v>351</v>
      </c>
      <c r="C23" s="380">
        <f>IFERROR(C21/C22,0)</f>
        <v>22.079557773618564</v>
      </c>
      <c r="D23" s="380">
        <f>IFERROR(D21/D22,0)</f>
        <v>4.981097217616842</v>
      </c>
      <c r="E23" s="380">
        <f>IFERROR(E21/E22,0)</f>
        <v>0</v>
      </c>
      <c r="F23" s="380">
        <f>IFERROR(F21/F22,0)</f>
        <v>0</v>
      </c>
      <c r="G23" s="380">
        <f>G21/G22</f>
        <v>10.811831671147944</v>
      </c>
      <c r="H23" s="380">
        <f>H21/H22</f>
        <v>25.880052087197093</v>
      </c>
      <c r="I23" s="380">
        <f>IFERROR(I21/I22,0)</f>
        <v>23.937691215800342</v>
      </c>
      <c r="J23" s="380">
        <f>J21/J22</f>
        <v>4.8948971109618284</v>
      </c>
      <c r="K23" s="380">
        <f>K21/K22</f>
        <v>4.991053401419415</v>
      </c>
      <c r="L23" s="380">
        <f>IFERROR(L21/L22,0)</f>
        <v>0</v>
      </c>
      <c r="M23" s="831">
        <f>IFERROR(M21/M22,0)</f>
        <v>0</v>
      </c>
    </row>
    <row r="24" spans="1:13">
      <c r="A24" s="199"/>
      <c r="B24" s="198"/>
      <c r="C24" s="199"/>
      <c r="G24" s="198"/>
      <c r="H24" s="322"/>
      <c r="M24" s="832"/>
    </row>
    <row r="25" spans="1:13">
      <c r="A25" s="850" t="s">
        <v>352</v>
      </c>
      <c r="B25" s="551"/>
      <c r="C25" s="550"/>
      <c r="D25" s="549"/>
      <c r="E25" s="549"/>
      <c r="F25" s="549"/>
      <c r="G25" s="551"/>
      <c r="H25" s="556"/>
      <c r="I25" s="554"/>
      <c r="J25" s="554"/>
      <c r="K25" s="554"/>
      <c r="L25" s="554"/>
      <c r="M25" s="555"/>
    </row>
    <row r="26" spans="1:13">
      <c r="A26" s="199"/>
      <c r="B26" s="200" t="s">
        <v>353</v>
      </c>
      <c r="C26" s="380">
        <f>IFERROR(C13/(C14+C16),0)</f>
        <v>0.96455938840417799</v>
      </c>
      <c r="D26" s="380">
        <f>IFERROR(D13/(D14+D16),0)</f>
        <v>1.685498161961162</v>
      </c>
      <c r="E26" s="380">
        <f>IFERROR(E13/(E14+E16),0)</f>
        <v>0.53881212036746051</v>
      </c>
      <c r="F26" s="380">
        <f>IFERROR(F13/(F14+F16),0)</f>
        <v>0</v>
      </c>
      <c r="G26" s="380">
        <f>G13/(G14+G16)</f>
        <v>1.2873457863487727</v>
      </c>
      <c r="H26" s="380">
        <f>H13/(H14+H16)</f>
        <v>1.2495496924881939</v>
      </c>
      <c r="I26" s="380">
        <f>IFERROR(I13/(I14+I16),0)</f>
        <v>0.152384520112719</v>
      </c>
      <c r="J26" s="380">
        <f>J13/(J14+J16)</f>
        <v>2.1229927916074387</v>
      </c>
      <c r="K26" s="380">
        <f>K13/(K14+K16)</f>
        <v>0.29679777612438468</v>
      </c>
      <c r="L26" s="380">
        <f>L13/(L14+L16)</f>
        <v>1.8363134418212921</v>
      </c>
      <c r="M26" s="831">
        <f>M13/(M14+M16)</f>
        <v>0.53881212036746051</v>
      </c>
    </row>
    <row r="27" spans="1:13">
      <c r="A27" s="199"/>
      <c r="B27" s="198"/>
      <c r="C27" s="199"/>
      <c r="G27" s="198"/>
      <c r="H27" s="322"/>
      <c r="M27" s="323"/>
    </row>
    <row r="28" spans="1:13">
      <c r="A28" s="850" t="s">
        <v>354</v>
      </c>
      <c r="B28" s="551"/>
      <c r="C28" s="550"/>
      <c r="D28" s="549"/>
      <c r="E28" s="549"/>
      <c r="F28" s="549"/>
      <c r="G28" s="551"/>
      <c r="H28" s="556"/>
      <c r="I28" s="554"/>
      <c r="J28" s="554"/>
      <c r="K28" s="554"/>
      <c r="L28" s="554"/>
      <c r="M28" s="555"/>
    </row>
    <row r="29" spans="1:13">
      <c r="A29" s="199">
        <v>14</v>
      </c>
      <c r="B29" s="198" t="s">
        <v>355</v>
      </c>
      <c r="C29" s="325">
        <f>SUM(H29,K29,L29)</f>
        <v>8673223.9759899992</v>
      </c>
      <c r="D29" s="377">
        <f>SUM(I29,J29)</f>
        <v>14722079.769045001</v>
      </c>
      <c r="E29" s="377">
        <f>M29</f>
        <v>414057.44785999996</v>
      </c>
      <c r="F29" s="377"/>
      <c r="G29" s="378">
        <f>SUM(C29:F29)</f>
        <v>23809361.192894999</v>
      </c>
      <c r="H29" s="4">
        <f t="shared" ref="H29:M29" si="5">H13</f>
        <v>7219255.2298799995</v>
      </c>
      <c r="I29" s="4">
        <f t="shared" si="5"/>
        <v>295497.73744499998</v>
      </c>
      <c r="J29" s="4">
        <f t="shared" si="5"/>
        <v>14426582.0316</v>
      </c>
      <c r="K29" s="4">
        <f t="shared" si="5"/>
        <v>857650.74611000007</v>
      </c>
      <c r="L29" s="4">
        <f t="shared" si="5"/>
        <v>596318</v>
      </c>
      <c r="M29" s="323">
        <f t="shared" si="5"/>
        <v>414057.44785999996</v>
      </c>
    </row>
    <row r="30" spans="1:13">
      <c r="A30" s="199">
        <v>15</v>
      </c>
      <c r="B30" s="198" t="s">
        <v>356</v>
      </c>
      <c r="C30" s="325">
        <f>SUM(H30,K30,L30)</f>
        <v>37566188.969000004</v>
      </c>
      <c r="D30" s="377">
        <f>SUM(I30,J30)</f>
        <v>44348684.754000001</v>
      </c>
      <c r="E30" s="377">
        <f>M30</f>
        <v>2295354.4350000001</v>
      </c>
      <c r="F30" s="377"/>
      <c r="G30" s="378">
        <f>SUM(C30:F30)</f>
        <v>84210228.158000007</v>
      </c>
      <c r="H30" s="825">
        <v>29754525.370000001</v>
      </c>
      <c r="I30" s="826">
        <v>2606559.4339999999</v>
      </c>
      <c r="J30" s="826">
        <v>41742125.32</v>
      </c>
      <c r="K30" s="826">
        <v>5906483.5990000004</v>
      </c>
      <c r="L30" s="826">
        <v>1905180</v>
      </c>
      <c r="M30" s="827">
        <v>2295354.4350000001</v>
      </c>
    </row>
    <row r="31" spans="1:13">
      <c r="A31" s="199"/>
      <c r="B31" s="200" t="s">
        <v>357</v>
      </c>
      <c r="C31" s="380">
        <f>IFERROR(C29/C30,0)</f>
        <v>0.23087846316130792</v>
      </c>
      <c r="D31" s="380">
        <f>IFERROR(D29/D30,0)</f>
        <v>0.33196203789825252</v>
      </c>
      <c r="E31" s="380">
        <f>IFERROR(E29/E30,0)</f>
        <v>0.18038932965923407</v>
      </c>
      <c r="F31" s="380">
        <f>IFERROR(F29/F30,0)</f>
        <v>0</v>
      </c>
      <c r="G31" s="380">
        <f>G29/G30</f>
        <v>0.28273716523155029</v>
      </c>
      <c r="H31" s="380">
        <f>H29/H30</f>
        <v>0.24262713453190596</v>
      </c>
      <c r="I31" s="380">
        <f>IFERROR(I29/I30,0)</f>
        <v>0.11336696704112061</v>
      </c>
      <c r="J31" s="380">
        <f>J29/J30</f>
        <v>0.3456120626586246</v>
      </c>
      <c r="K31" s="380">
        <f>K29/K30</f>
        <v>0.14520496531222146</v>
      </c>
      <c r="L31" s="380">
        <f>L29/L30</f>
        <v>0.31299824688480876</v>
      </c>
      <c r="M31" s="831">
        <f>M29/M30</f>
        <v>0.18038932965923407</v>
      </c>
    </row>
    <row r="32" spans="1:13">
      <c r="A32" s="199"/>
      <c r="B32" s="196"/>
      <c r="C32" s="833"/>
      <c r="D32" s="834"/>
      <c r="E32" s="834"/>
      <c r="F32" s="834"/>
      <c r="G32" s="834"/>
      <c r="H32" s="833"/>
      <c r="I32" s="834"/>
      <c r="J32" s="834"/>
      <c r="K32" s="834"/>
      <c r="L32" s="834"/>
      <c r="M32" s="835"/>
    </row>
    <row r="33" spans="1:13">
      <c r="A33" s="850" t="s">
        <v>358</v>
      </c>
      <c r="B33" s="551"/>
      <c r="C33" s="550"/>
      <c r="D33" s="549"/>
      <c r="E33" s="549"/>
      <c r="F33" s="549"/>
      <c r="G33" s="551"/>
      <c r="H33" s="556"/>
      <c r="I33" s="554"/>
      <c r="J33" s="554"/>
      <c r="K33" s="554"/>
      <c r="L33" s="554"/>
      <c r="M33" s="555"/>
    </row>
    <row r="34" spans="1:13">
      <c r="A34" s="199">
        <v>16</v>
      </c>
      <c r="B34" s="198" t="s">
        <v>337</v>
      </c>
      <c r="C34" s="325">
        <f>SUM(H34,K34,L34)</f>
        <v>9044245.2080000006</v>
      </c>
      <c r="D34" s="377">
        <f>SUM(I34,J34)</f>
        <v>15885678.599199999</v>
      </c>
      <c r="E34" s="377">
        <f>M34</f>
        <v>367446.34759999998</v>
      </c>
      <c r="F34" s="377"/>
      <c r="G34" s="378">
        <f>SUM(C34:F34)</f>
        <v>25297370.154799998</v>
      </c>
      <c r="H34" s="825">
        <v>7635835.6459999997</v>
      </c>
      <c r="I34" s="826">
        <v>302620.7292</v>
      </c>
      <c r="J34" s="826">
        <v>15583057.869999999</v>
      </c>
      <c r="K34" s="826">
        <v>1017053.762</v>
      </c>
      <c r="L34" s="826">
        <v>391355.8</v>
      </c>
      <c r="M34" s="827">
        <v>367446.34759999998</v>
      </c>
    </row>
    <row r="35" spans="1:13">
      <c r="A35" s="199">
        <v>17</v>
      </c>
      <c r="B35" s="198" t="s">
        <v>338</v>
      </c>
      <c r="C35" s="325">
        <f>SUM(H35,K35,L35)</f>
        <v>1455835.4776099999</v>
      </c>
      <c r="D35" s="377">
        <f>SUM(I35,J35)</f>
        <v>2990074.4279799997</v>
      </c>
      <c r="E35" s="377">
        <f>M35</f>
        <v>22620.071189999999</v>
      </c>
      <c r="F35" s="377"/>
      <c r="G35" s="378">
        <f>SUM(C35:F35)</f>
        <v>4468529.9767799992</v>
      </c>
      <c r="H35" s="825">
        <v>1166027.108</v>
      </c>
      <c r="I35" s="826">
        <v>81411.027979999999</v>
      </c>
      <c r="J35" s="826">
        <v>2908663.4</v>
      </c>
      <c r="K35" s="826">
        <v>84846.169609999997</v>
      </c>
      <c r="L35" s="826">
        <v>204962.2</v>
      </c>
      <c r="M35" s="827">
        <v>22620.071189999999</v>
      </c>
    </row>
    <row r="36" spans="1:13">
      <c r="A36" s="199">
        <v>18</v>
      </c>
      <c r="B36" s="198" t="s">
        <v>339</v>
      </c>
      <c r="C36" s="325">
        <f>SUM(H36,K36,L36)</f>
        <v>49701.138710000007</v>
      </c>
      <c r="D36" s="377">
        <f>SUM(I36,J36)</f>
        <v>-230588.34211999999</v>
      </c>
      <c r="E36" s="377">
        <f>M36</f>
        <v>112772.8805</v>
      </c>
      <c r="F36" s="377"/>
      <c r="G36" s="378">
        <f>SUM(C36:F36)</f>
        <v>-68114.322909999988</v>
      </c>
      <c r="H36" s="825">
        <v>90724.977060000005</v>
      </c>
      <c r="I36" s="826">
        <v>-9208.0904200000004</v>
      </c>
      <c r="J36" s="826">
        <v>-221380.25169999999</v>
      </c>
      <c r="K36" s="826">
        <v>-41023.838349999998</v>
      </c>
      <c r="L36" s="826">
        <v>0</v>
      </c>
      <c r="M36" s="827">
        <v>112772.8805</v>
      </c>
    </row>
    <row r="37" spans="1:13">
      <c r="A37" s="199">
        <v>19</v>
      </c>
      <c r="B37" s="198" t="s">
        <v>340</v>
      </c>
      <c r="C37" s="325">
        <f>SUM(H37,K37,L37)</f>
        <v>137543.25509000002</v>
      </c>
      <c r="D37" s="377">
        <f>SUM(I37,J37)</f>
        <v>-213009.47313900001</v>
      </c>
      <c r="E37" s="377">
        <f>M37</f>
        <v>122452.0485</v>
      </c>
      <c r="F37" s="377"/>
      <c r="G37" s="378">
        <f>SUM(C37:F37)</f>
        <v>46985.830451000016</v>
      </c>
      <c r="H37" s="825">
        <v>175101.6814</v>
      </c>
      <c r="I37" s="826">
        <v>-9079.0630390000006</v>
      </c>
      <c r="J37" s="826">
        <v>-203930.41010000001</v>
      </c>
      <c r="K37" s="826">
        <v>-38115.041109999998</v>
      </c>
      <c r="L37" s="826">
        <v>556.61479999999995</v>
      </c>
      <c r="M37" s="827">
        <v>122452.0485</v>
      </c>
    </row>
    <row r="38" spans="1:13">
      <c r="A38" s="199"/>
      <c r="B38" s="200" t="s">
        <v>359</v>
      </c>
      <c r="C38" s="379">
        <f t="shared" ref="C38:M38" si="6">SUM(C34:C37)</f>
        <v>10687325.07941</v>
      </c>
      <c r="D38" s="379">
        <f t="shared" si="6"/>
        <v>18432155.211920999</v>
      </c>
      <c r="E38" s="379">
        <f t="shared" si="6"/>
        <v>625291.34779000003</v>
      </c>
      <c r="F38" s="379">
        <f t="shared" si="6"/>
        <v>0</v>
      </c>
      <c r="G38" s="379">
        <f t="shared" si="6"/>
        <v>29744771.639120996</v>
      </c>
      <c r="H38" s="379">
        <f t="shared" si="6"/>
        <v>9067689.4124599993</v>
      </c>
      <c r="I38" s="379">
        <f t="shared" si="6"/>
        <v>365744.60372100002</v>
      </c>
      <c r="J38" s="379">
        <f t="shared" si="6"/>
        <v>18066410.608199999</v>
      </c>
      <c r="K38" s="379">
        <f t="shared" si="6"/>
        <v>1022761.05215</v>
      </c>
      <c r="L38" s="379">
        <f t="shared" si="6"/>
        <v>596874.61479999998</v>
      </c>
      <c r="M38" s="828">
        <f t="shared" si="6"/>
        <v>625291.34779000003</v>
      </c>
    </row>
    <row r="39" spans="1:13">
      <c r="A39" s="199">
        <v>20</v>
      </c>
      <c r="B39" s="198" t="s">
        <v>344</v>
      </c>
      <c r="C39" s="325">
        <f>SUM(H39,K39,L39)</f>
        <v>2316296.0896000001</v>
      </c>
      <c r="D39" s="377">
        <f>SUM(I39,J39)</f>
        <v>7950060.7240000004</v>
      </c>
      <c r="E39" s="377">
        <f>M39</f>
        <v>0</v>
      </c>
      <c r="F39" s="377"/>
      <c r="G39" s="378">
        <f>SUM(C39:F39)</f>
        <v>10266356.8136</v>
      </c>
      <c r="H39" s="825">
        <v>1724828.6440000001</v>
      </c>
      <c r="I39" s="826">
        <v>36718.199999999997</v>
      </c>
      <c r="J39" s="826">
        <v>7913342.5240000002</v>
      </c>
      <c r="K39" s="826">
        <v>591467.44559999998</v>
      </c>
      <c r="L39" s="826">
        <v>0</v>
      </c>
      <c r="M39" s="827">
        <v>0</v>
      </c>
    </row>
    <row r="40" spans="1:13">
      <c r="A40" s="199">
        <v>21</v>
      </c>
      <c r="B40" s="198" t="s">
        <v>343</v>
      </c>
      <c r="C40" s="325">
        <f>SUM(H40,K40,L40)</f>
        <v>6202774.7400000002</v>
      </c>
      <c r="D40" s="377">
        <f>SUM(I40,J40)</f>
        <v>4657426.7200000007</v>
      </c>
      <c r="E40" s="377">
        <f>M40</f>
        <v>768463.5</v>
      </c>
      <c r="F40" s="377"/>
      <c r="G40" s="378">
        <f>SUM(C40:F40)</f>
        <v>11628664.960000001</v>
      </c>
      <c r="H40" s="825">
        <v>3342414.34</v>
      </c>
      <c r="I40" s="826">
        <v>1727610.5</v>
      </c>
      <c r="J40" s="826">
        <v>2929816.22</v>
      </c>
      <c r="K40" s="826">
        <v>2535623.9</v>
      </c>
      <c r="L40" s="826">
        <v>324736.5</v>
      </c>
      <c r="M40" s="827">
        <v>768463.5</v>
      </c>
    </row>
    <row r="41" spans="1:13">
      <c r="A41" s="199">
        <v>22</v>
      </c>
      <c r="B41" s="197" t="s">
        <v>345</v>
      </c>
      <c r="C41" s="381"/>
      <c r="D41" s="377"/>
      <c r="E41" s="377"/>
      <c r="F41" s="377"/>
      <c r="G41" s="378"/>
      <c r="H41" s="382"/>
      <c r="I41" s="383"/>
      <c r="J41" s="383"/>
      <c r="K41" s="383"/>
      <c r="L41" s="383"/>
      <c r="M41" s="323"/>
    </row>
    <row r="42" spans="1:13">
      <c r="A42" s="199"/>
      <c r="B42" s="196" t="s">
        <v>360</v>
      </c>
      <c r="C42" s="384">
        <f>SUM(C39:C41)</f>
        <v>8519070.8296000008</v>
      </c>
      <c r="D42" s="385">
        <f>SUM(D39:D41)</f>
        <v>12607487.444000002</v>
      </c>
      <c r="E42" s="385">
        <f>SUM(E39:E41)</f>
        <v>768463.5</v>
      </c>
      <c r="F42" s="385">
        <f>SUM(F39:F41)</f>
        <v>0</v>
      </c>
      <c r="G42" s="385">
        <f>SUM(C42:F42)</f>
        <v>21895021.773600005</v>
      </c>
      <c r="H42" s="384">
        <f t="shared" ref="H42:M42" si="7">SUM(H39:H40)</f>
        <v>5067242.9840000002</v>
      </c>
      <c r="I42" s="384">
        <f t="shared" si="7"/>
        <v>1764328.7</v>
      </c>
      <c r="J42" s="384">
        <f t="shared" si="7"/>
        <v>10843158.744000001</v>
      </c>
      <c r="K42" s="384">
        <f t="shared" si="7"/>
        <v>3127091.3455999997</v>
      </c>
      <c r="L42" s="384">
        <f t="shared" si="7"/>
        <v>324736.5</v>
      </c>
      <c r="M42" s="836">
        <f t="shared" si="7"/>
        <v>768463.5</v>
      </c>
    </row>
    <row r="43" spans="1:13" ht="15" thickBot="1">
      <c r="A43" s="199"/>
      <c r="B43" s="195" t="s">
        <v>361</v>
      </c>
      <c r="C43" s="386">
        <f>IFERROR(C38/C42,0)</f>
        <v>1.2545176925018953</v>
      </c>
      <c r="D43" s="386">
        <f>IFERROR(D38/D42,0)</f>
        <v>1.4620006796590546</v>
      </c>
      <c r="E43" s="386">
        <f>IFERROR(E38/E42,0)</f>
        <v>0.81369036758414681</v>
      </c>
      <c r="F43" s="386">
        <f>IFERROR(F38/F42,0)</f>
        <v>0</v>
      </c>
      <c r="G43" s="386">
        <f t="shared" ref="G43:M43" si="8">G38/G42</f>
        <v>1.3585175637955225</v>
      </c>
      <c r="H43" s="386">
        <f t="shared" si="8"/>
        <v>1.7894719951444111</v>
      </c>
      <c r="I43" s="386">
        <f t="shared" si="8"/>
        <v>0.20729958296376408</v>
      </c>
      <c r="J43" s="386">
        <f t="shared" si="8"/>
        <v>1.6661575316507233</v>
      </c>
      <c r="K43" s="386">
        <f t="shared" si="8"/>
        <v>0.32706465501530185</v>
      </c>
      <c r="L43" s="386">
        <f t="shared" si="8"/>
        <v>1.8380274924438738</v>
      </c>
      <c r="M43" s="837">
        <f t="shared" si="8"/>
        <v>0.81369036758414681</v>
      </c>
    </row>
    <row r="44" spans="1:13">
      <c r="A44" s="199"/>
      <c r="B44" s="198"/>
      <c r="C44" s="199"/>
      <c r="G44" s="198"/>
      <c r="H44" s="322"/>
      <c r="M44" s="323"/>
    </row>
    <row r="45" spans="1:13">
      <c r="A45" s="850" t="s">
        <v>362</v>
      </c>
      <c r="B45" s="551"/>
      <c r="C45" s="550"/>
      <c r="D45" s="549"/>
      <c r="E45" s="549"/>
      <c r="F45" s="549"/>
      <c r="G45" s="551"/>
      <c r="H45" s="556"/>
      <c r="I45" s="554"/>
      <c r="J45" s="554"/>
      <c r="K45" s="554"/>
      <c r="L45" s="554"/>
      <c r="M45" s="555"/>
    </row>
    <row r="46" spans="1:13">
      <c r="A46" s="199">
        <v>23</v>
      </c>
      <c r="B46" s="198" t="s">
        <v>334</v>
      </c>
      <c r="C46" s="325">
        <f t="shared" ref="C46:C54" si="9">SUM(H46,K46,L46)</f>
        <v>0</v>
      </c>
      <c r="D46" s="377">
        <f t="shared" ref="D46:D54" si="10">SUM(I46,J46)</f>
        <v>0</v>
      </c>
      <c r="E46" s="377">
        <f t="shared" ref="E46:E54" si="11">M46</f>
        <v>0</v>
      </c>
      <c r="G46" s="378">
        <f t="shared" ref="G46:G54" si="12">SUM(C46:F46)</f>
        <v>0</v>
      </c>
      <c r="H46" s="4">
        <v>0</v>
      </c>
      <c r="I46" s="4">
        <v>0</v>
      </c>
      <c r="J46" s="4">
        <v>0</v>
      </c>
      <c r="K46" s="4">
        <v>0</v>
      </c>
      <c r="L46" s="4">
        <v>0</v>
      </c>
      <c r="M46" s="378">
        <v>0</v>
      </c>
    </row>
    <row r="47" spans="1:13">
      <c r="A47" s="199">
        <v>24</v>
      </c>
      <c r="B47" s="198" t="s">
        <v>335</v>
      </c>
      <c r="C47" s="325">
        <f t="shared" si="9"/>
        <v>0</v>
      </c>
      <c r="D47" s="377">
        <f t="shared" si="10"/>
        <v>0</v>
      </c>
      <c r="E47" s="377">
        <f t="shared" si="11"/>
        <v>0</v>
      </c>
      <c r="F47" s="377"/>
      <c r="G47" s="378">
        <f t="shared" si="12"/>
        <v>0</v>
      </c>
      <c r="H47" s="4">
        <v>0</v>
      </c>
      <c r="I47" s="4">
        <v>0</v>
      </c>
      <c r="J47" s="4">
        <v>0</v>
      </c>
      <c r="K47" s="4">
        <v>0</v>
      </c>
      <c r="L47" s="4">
        <v>0</v>
      </c>
      <c r="M47" s="378">
        <v>0</v>
      </c>
    </row>
    <row r="48" spans="1:13">
      <c r="A48" s="199">
        <v>25</v>
      </c>
      <c r="B48" s="198" t="s">
        <v>336</v>
      </c>
      <c r="C48" s="325">
        <f t="shared" si="9"/>
        <v>0</v>
      </c>
      <c r="D48" s="377">
        <f t="shared" si="10"/>
        <v>0</v>
      </c>
      <c r="E48" s="377">
        <f t="shared" si="11"/>
        <v>0</v>
      </c>
      <c r="F48" s="377"/>
      <c r="G48" s="378">
        <f t="shared" si="12"/>
        <v>0</v>
      </c>
      <c r="H48" s="4">
        <v>0</v>
      </c>
      <c r="I48" s="4">
        <v>0</v>
      </c>
      <c r="J48" s="4">
        <v>0</v>
      </c>
      <c r="K48" s="4">
        <v>0</v>
      </c>
      <c r="L48" s="4">
        <v>0</v>
      </c>
      <c r="M48" s="378">
        <v>0</v>
      </c>
    </row>
    <row r="49" spans="1:13">
      <c r="A49" s="199">
        <v>26</v>
      </c>
      <c r="B49" s="198" t="s">
        <v>337</v>
      </c>
      <c r="C49" s="325">
        <f t="shared" si="9"/>
        <v>21265241.621999998</v>
      </c>
      <c r="D49" s="377">
        <f t="shared" si="10"/>
        <v>29216338.031199999</v>
      </c>
      <c r="E49" s="377">
        <f t="shared" si="11"/>
        <v>866416.33689999999</v>
      </c>
      <c r="F49" s="377"/>
      <c r="G49" s="378">
        <f t="shared" si="12"/>
        <v>51347995.990100004</v>
      </c>
      <c r="H49" s="825">
        <v>17917535.579999998</v>
      </c>
      <c r="I49" s="826">
        <v>555805.89119999995</v>
      </c>
      <c r="J49" s="826">
        <v>28660532.140000001</v>
      </c>
      <c r="K49" s="826">
        <v>2383565.5419999999</v>
      </c>
      <c r="L49" s="826">
        <v>964140.5</v>
      </c>
      <c r="M49" s="827">
        <v>866416.33689999999</v>
      </c>
    </row>
    <row r="50" spans="1:13">
      <c r="A50" s="199">
        <v>27</v>
      </c>
      <c r="B50" s="198" t="s">
        <v>338</v>
      </c>
      <c r="C50" s="325">
        <f t="shared" si="9"/>
        <v>1276789.62744</v>
      </c>
      <c r="D50" s="377">
        <f t="shared" si="10"/>
        <v>2885223.6391799999</v>
      </c>
      <c r="E50" s="377">
        <f t="shared" si="11"/>
        <v>19838.141729999999</v>
      </c>
      <c r="F50" s="377"/>
      <c r="G50" s="378">
        <f t="shared" si="12"/>
        <v>4181851.4083499997</v>
      </c>
      <c r="H50" s="825">
        <v>1022623.264</v>
      </c>
      <c r="I50" s="826">
        <v>78559.668179999993</v>
      </c>
      <c r="J50" s="826">
        <v>2806663.9709999999</v>
      </c>
      <c r="K50" s="826">
        <v>74411.363440000001</v>
      </c>
      <c r="L50" s="826">
        <v>179755</v>
      </c>
      <c r="M50" s="827">
        <v>19838.141729999999</v>
      </c>
    </row>
    <row r="51" spans="1:13">
      <c r="A51" s="199">
        <v>28</v>
      </c>
      <c r="B51" s="198" t="s">
        <v>339</v>
      </c>
      <c r="C51" s="325">
        <f t="shared" si="9"/>
        <v>175421.55700000003</v>
      </c>
      <c r="D51" s="377">
        <f t="shared" si="10"/>
        <v>-521496.91527999996</v>
      </c>
      <c r="E51" s="377">
        <f t="shared" si="11"/>
        <v>364609.59029999998</v>
      </c>
      <c r="F51" s="377"/>
      <c r="G51" s="378">
        <f t="shared" si="12"/>
        <v>18534.232020000054</v>
      </c>
      <c r="H51" s="825">
        <v>300805.27610000002</v>
      </c>
      <c r="I51" s="826">
        <v>-21029.491679999999</v>
      </c>
      <c r="J51" s="826">
        <v>-500467.42359999998</v>
      </c>
      <c r="K51" s="826">
        <v>-125383.7191</v>
      </c>
      <c r="L51" s="826"/>
      <c r="M51" s="827">
        <v>364609.59029999998</v>
      </c>
    </row>
    <row r="52" spans="1:13">
      <c r="A52" s="199">
        <v>29</v>
      </c>
      <c r="B52" s="198" t="s">
        <v>340</v>
      </c>
      <c r="C52" s="325">
        <f t="shared" si="9"/>
        <v>134580.33640999999</v>
      </c>
      <c r="D52" s="377">
        <f t="shared" si="10"/>
        <v>-211264.83633399999</v>
      </c>
      <c r="E52" s="377">
        <f t="shared" si="11"/>
        <v>120660.29459999999</v>
      </c>
      <c r="F52" s="377"/>
      <c r="G52" s="378">
        <f t="shared" si="12"/>
        <v>43975.79467599999</v>
      </c>
      <c r="H52" s="825">
        <v>171763.7611</v>
      </c>
      <c r="I52" s="826">
        <v>-8973.9242340000001</v>
      </c>
      <c r="J52" s="826">
        <v>-202290.91209999999</v>
      </c>
      <c r="K52" s="826">
        <v>-37680.350890000002</v>
      </c>
      <c r="L52" s="826">
        <v>496.92619999999999</v>
      </c>
      <c r="M52" s="827">
        <v>120660.29459999999</v>
      </c>
    </row>
    <row r="53" spans="1:13">
      <c r="A53" s="199">
        <v>30</v>
      </c>
      <c r="B53" s="198" t="s">
        <v>341</v>
      </c>
      <c r="C53" s="325">
        <f t="shared" si="9"/>
        <v>1345397.5854</v>
      </c>
      <c r="D53" s="377">
        <f t="shared" si="10"/>
        <v>2371365.8529000003</v>
      </c>
      <c r="E53" s="377">
        <f t="shared" si="11"/>
        <v>54266.819539999997</v>
      </c>
      <c r="F53" s="377"/>
      <c r="G53" s="378">
        <f t="shared" si="12"/>
        <v>3771030.2578400006</v>
      </c>
      <c r="H53" s="825">
        <v>1127106.3060000001</v>
      </c>
      <c r="I53" s="826">
        <v>45528.019899999999</v>
      </c>
      <c r="J53" s="826">
        <v>2325837.8330000001</v>
      </c>
      <c r="K53" s="826">
        <v>147674.32939999999</v>
      </c>
      <c r="L53" s="826">
        <v>70616.95</v>
      </c>
      <c r="M53" s="827">
        <v>54266.819539999997</v>
      </c>
    </row>
    <row r="54" spans="1:13">
      <c r="A54" s="199">
        <v>31</v>
      </c>
      <c r="B54" s="198" t="s">
        <v>363</v>
      </c>
      <c r="C54" s="325">
        <f t="shared" si="9"/>
        <v>1150778.8882000002</v>
      </c>
      <c r="D54" s="377">
        <f t="shared" si="10"/>
        <v>1613820.52697</v>
      </c>
      <c r="E54" s="377">
        <f t="shared" si="11"/>
        <v>62543.203450000001</v>
      </c>
      <c r="F54" s="377"/>
      <c r="G54" s="378">
        <f t="shared" si="12"/>
        <v>2827142.6186199998</v>
      </c>
      <c r="H54" s="322">
        <v>966190.74990000005</v>
      </c>
      <c r="I54" s="4">
        <v>31718.277969999999</v>
      </c>
      <c r="J54" s="4">
        <v>1582102.2490000001</v>
      </c>
      <c r="K54" s="4">
        <v>127393.35830000001</v>
      </c>
      <c r="L54" s="4">
        <v>57194.78</v>
      </c>
      <c r="M54" s="827">
        <v>62543.203450000001</v>
      </c>
    </row>
    <row r="55" spans="1:13">
      <c r="A55" s="199">
        <v>32</v>
      </c>
      <c r="B55" s="198" t="s">
        <v>364</v>
      </c>
      <c r="C55" s="199"/>
      <c r="E55" s="377"/>
      <c r="G55" s="198"/>
      <c r="H55" s="322"/>
      <c r="M55" s="323"/>
    </row>
    <row r="56" spans="1:13">
      <c r="A56" s="199"/>
      <c r="B56" s="200" t="s">
        <v>365</v>
      </c>
      <c r="C56" s="379">
        <f>SUM(C46:C55)</f>
        <v>25348209.616450001</v>
      </c>
      <c r="D56" s="379">
        <f>SUM(D46:D55)</f>
        <v>35353986.298635997</v>
      </c>
      <c r="E56" s="379">
        <f>SUM(E46:E55)</f>
        <v>1488334.3865199999</v>
      </c>
      <c r="F56" s="379">
        <f>SUM(F47:F55)</f>
        <v>0</v>
      </c>
      <c r="G56" s="324">
        <f>SUM(C56:F56)</f>
        <v>62190530.301605999</v>
      </c>
      <c r="H56" s="379">
        <f t="shared" ref="H56:M56" si="13">SUM(H46:H55)</f>
        <v>21506024.937099997</v>
      </c>
      <c r="I56" s="379">
        <f t="shared" si="13"/>
        <v>681608.44133599999</v>
      </c>
      <c r="J56" s="379">
        <f t="shared" si="13"/>
        <v>34672377.857300006</v>
      </c>
      <c r="K56" s="379">
        <f t="shared" si="13"/>
        <v>2569980.5231500003</v>
      </c>
      <c r="L56" s="379">
        <f t="shared" si="13"/>
        <v>1272204.1562000001</v>
      </c>
      <c r="M56" s="828">
        <f t="shared" si="13"/>
        <v>1488334.3865199999</v>
      </c>
    </row>
    <row r="57" spans="1:13">
      <c r="A57" s="199">
        <v>33</v>
      </c>
      <c r="B57" s="198" t="s">
        <v>343</v>
      </c>
      <c r="C57" s="325">
        <f>SUM(H57,K57,L57)</f>
        <v>6202774.7400000002</v>
      </c>
      <c r="D57" s="377">
        <f>SUM(I57,J57)</f>
        <v>4657426.7200000007</v>
      </c>
      <c r="E57" s="377">
        <f>M57</f>
        <v>768463.5</v>
      </c>
      <c r="F57" s="377"/>
      <c r="G57" s="378">
        <f>SUM(C57:F57)</f>
        <v>11628664.960000001</v>
      </c>
      <c r="H57" s="825">
        <v>3342414.34</v>
      </c>
      <c r="I57" s="826">
        <v>1727610.5</v>
      </c>
      <c r="J57" s="826">
        <v>2929816.22</v>
      </c>
      <c r="K57" s="826">
        <v>2535623.9</v>
      </c>
      <c r="L57" s="826">
        <v>324736.5</v>
      </c>
      <c r="M57" s="827">
        <v>768463.5</v>
      </c>
    </row>
    <row r="58" spans="1:13">
      <c r="A58" s="199">
        <v>34</v>
      </c>
      <c r="B58" s="198" t="s">
        <v>344</v>
      </c>
      <c r="C58" s="325">
        <f>SUM(H58,K58,L58)</f>
        <v>2316296.0896000001</v>
      </c>
      <c r="D58" s="377">
        <f>SUM(I58,J58)</f>
        <v>7950060.7240000004</v>
      </c>
      <c r="E58" s="377">
        <f>M58</f>
        <v>0</v>
      </c>
      <c r="F58" s="377"/>
      <c r="G58" s="378">
        <f>SUM(C58:F58)</f>
        <v>10266356.8136</v>
      </c>
      <c r="H58" s="825">
        <v>1724828.6440000001</v>
      </c>
      <c r="I58" s="826">
        <v>36718.199999999997</v>
      </c>
      <c r="J58" s="826">
        <v>7913342.5240000002</v>
      </c>
      <c r="K58" s="826">
        <v>591467.44559999998</v>
      </c>
      <c r="L58" s="826">
        <v>0</v>
      </c>
      <c r="M58" s="827">
        <v>0</v>
      </c>
    </row>
    <row r="59" spans="1:13">
      <c r="A59" s="199">
        <v>35</v>
      </c>
      <c r="B59" s="197" t="s">
        <v>345</v>
      </c>
      <c r="C59" s="381">
        <f>SUM(H59,K59,L59)</f>
        <v>0</v>
      </c>
      <c r="D59" s="377">
        <f>SUM(I59,J59)</f>
        <v>0</v>
      </c>
      <c r="E59" s="377">
        <f>M59</f>
        <v>0</v>
      </c>
      <c r="F59" s="377"/>
      <c r="G59" s="378">
        <f>SUM(C59:F59)</f>
        <v>0</v>
      </c>
      <c r="H59" s="382"/>
      <c r="I59" s="383"/>
      <c r="J59" s="383"/>
      <c r="K59" s="383"/>
      <c r="L59" s="383"/>
      <c r="M59" s="323"/>
    </row>
    <row r="60" spans="1:13">
      <c r="A60" s="199"/>
      <c r="B60" s="196" t="s">
        <v>366</v>
      </c>
      <c r="C60" s="384">
        <f>SUM(C57:C59)</f>
        <v>8519070.8296000008</v>
      </c>
      <c r="D60" s="385">
        <f>SUM(D57:D59)</f>
        <v>12607487.444000002</v>
      </c>
      <c r="E60" s="385">
        <f>SUM(E57:E59)</f>
        <v>768463.5</v>
      </c>
      <c r="F60" s="385">
        <f>SUM(F57:F59)</f>
        <v>0</v>
      </c>
      <c r="G60" s="385">
        <f>SUM(C60:F60)</f>
        <v>21895021.773600005</v>
      </c>
      <c r="H60" s="384">
        <f t="shared" ref="H60:M60" si="14">SUM(H57:H59)</f>
        <v>5067242.9840000002</v>
      </c>
      <c r="I60" s="384">
        <f t="shared" si="14"/>
        <v>1764328.7</v>
      </c>
      <c r="J60" s="384">
        <f t="shared" si="14"/>
        <v>10843158.744000001</v>
      </c>
      <c r="K60" s="384">
        <f t="shared" si="14"/>
        <v>3127091.3455999997</v>
      </c>
      <c r="L60" s="384">
        <f t="shared" si="14"/>
        <v>324736.5</v>
      </c>
      <c r="M60" s="836">
        <f t="shared" si="14"/>
        <v>768463.5</v>
      </c>
    </row>
    <row r="61" spans="1:13" ht="15" thickBot="1">
      <c r="A61" s="851"/>
      <c r="B61" s="195" t="s">
        <v>367</v>
      </c>
      <c r="C61" s="386">
        <f>IFERROR(C56/C60,0)</f>
        <v>2.9754664708710004</v>
      </c>
      <c r="D61" s="386">
        <f>IFERROR(D56/D60,0)</f>
        <v>2.8042055529042962</v>
      </c>
      <c r="E61" s="386">
        <f>IFERROR(E56/E60,0)</f>
        <v>1.9367665302515993</v>
      </c>
      <c r="F61" s="386">
        <f>IFERROR(F56/F60,0)</f>
        <v>0</v>
      </c>
      <c r="G61" s="386">
        <f>G56/G60</f>
        <v>2.840395910297401</v>
      </c>
      <c r="H61" s="386">
        <f>H56/H60</f>
        <v>4.2441274288614217</v>
      </c>
      <c r="I61" s="386">
        <f>IFERROR(I56/I60,0)</f>
        <v>0.38632735574499244</v>
      </c>
      <c r="J61" s="386">
        <f>J56/J60</f>
        <v>3.1976270638374418</v>
      </c>
      <c r="K61" s="386">
        <f>K56/K60</f>
        <v>0.82184376441900653</v>
      </c>
      <c r="L61" s="386">
        <f>L56/L60</f>
        <v>3.9176506373629083</v>
      </c>
      <c r="M61" s="837">
        <f>M56/M60</f>
        <v>1.9367665302515993</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
  <sheetViews>
    <sheetView showGridLines="0" workbookViewId="0">
      <selection activeCell="C22" sqref="C22"/>
    </sheetView>
  </sheetViews>
  <sheetFormatPr defaultRowHeight="14.5"/>
  <sheetData>
    <row r="2" spans="2:2">
      <c r="B2" s="254" t="s">
        <v>368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I6"/>
  <sheetViews>
    <sheetView showGridLines="0" zoomScale="110" zoomScaleNormal="110" workbookViewId="0">
      <selection activeCell="B6" sqref="B6:I6"/>
    </sheetView>
  </sheetViews>
  <sheetFormatPr defaultRowHeight="14.5"/>
  <cols>
    <col min="2" max="9" width="18" customWidth="1"/>
  </cols>
  <sheetData>
    <row r="1" spans="1:9" ht="15" thickBot="1"/>
    <row r="2" spans="1:9" ht="48">
      <c r="B2" s="6" t="s">
        <v>43</v>
      </c>
      <c r="C2" s="14" t="s">
        <v>44</v>
      </c>
      <c r="D2" s="14" t="s">
        <v>45</v>
      </c>
      <c r="E2" s="14" t="s">
        <v>46</v>
      </c>
      <c r="F2" s="409" t="s">
        <v>47</v>
      </c>
      <c r="G2" s="14" t="s">
        <v>48</v>
      </c>
      <c r="H2" s="14" t="s">
        <v>49</v>
      </c>
      <c r="I2" s="235" t="s">
        <v>50</v>
      </c>
    </row>
    <row r="3" spans="1:9" ht="15" thickBot="1">
      <c r="B3" s="236" t="s">
        <v>51</v>
      </c>
      <c r="C3" s="237" t="s">
        <v>52</v>
      </c>
      <c r="D3" s="237" t="s">
        <v>53</v>
      </c>
      <c r="E3" s="237" t="s">
        <v>54</v>
      </c>
      <c r="F3" s="237" t="s">
        <v>55</v>
      </c>
      <c r="G3" s="237" t="s">
        <v>56</v>
      </c>
      <c r="H3" s="237" t="s">
        <v>57</v>
      </c>
      <c r="I3" s="238" t="s">
        <v>58</v>
      </c>
    </row>
    <row r="4" spans="1:9" ht="39.75" customHeight="1">
      <c r="A4" s="391" t="s">
        <v>59</v>
      </c>
      <c r="B4" s="392">
        <f>'Ap B - Qtr Electric Master'!L39-'Table 1'!D4</f>
        <v>16217.221456354999</v>
      </c>
      <c r="C4" s="392">
        <f>'Tables 2-6'!B40</f>
        <v>95.331564999999998</v>
      </c>
      <c r="D4" s="393">
        <f>'Ap B - Qtr Electric Master'!L16+'Ap B - Qtr Electric Master'!L18</f>
        <v>521.61785897499999</v>
      </c>
      <c r="E4" s="393">
        <f>SUM(B4:D4)</f>
        <v>16834.170880329999</v>
      </c>
      <c r="F4" s="394"/>
      <c r="G4" s="395"/>
      <c r="H4" s="395"/>
      <c r="I4" s="396"/>
    </row>
    <row r="5" spans="1:9" ht="40.5" customHeight="1" thickBot="1">
      <c r="A5" s="397" t="s">
        <v>60</v>
      </c>
      <c r="B5" s="398">
        <f>'Ap B - Qtr Electric Master'!N39-'Table 1'!D5</f>
        <v>61292.686881883485</v>
      </c>
      <c r="C5" s="398">
        <f>'Tables 2-6'!C40</f>
        <v>407.55759999999998</v>
      </c>
      <c r="D5" s="399">
        <f>'Ap B - Qtr Electric Master'!N16+6280</f>
        <v>8315.248599999999</v>
      </c>
      <c r="E5" s="399">
        <f>SUM(B5:D5)</f>
        <v>70015.493081883484</v>
      </c>
      <c r="F5" s="399">
        <f>'Ap E - NJ CEA Benchmarks'!H12</f>
        <v>8673278.0698611047</v>
      </c>
      <c r="G5" s="400">
        <f>'Ap E - NJ CEA Benchmarks'!M12</f>
        <v>7.4000000000000003E-3</v>
      </c>
      <c r="H5" s="399">
        <f>F5*G5</f>
        <v>64182.257716972177</v>
      </c>
      <c r="I5" s="401">
        <f>E5/H5</f>
        <v>1.0908854810099455</v>
      </c>
    </row>
    <row r="6" spans="1:9" ht="68.25" customHeight="1">
      <c r="B6" s="871" t="s">
        <v>61</v>
      </c>
      <c r="C6" s="872"/>
      <c r="D6" s="872"/>
      <c r="E6" s="872"/>
      <c r="F6" s="872"/>
      <c r="G6" s="872"/>
      <c r="H6" s="872"/>
      <c r="I6" s="872"/>
    </row>
  </sheetData>
  <mergeCells count="1">
    <mergeCell ref="B6: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62"/>
  <sheetViews>
    <sheetView showGridLines="0" zoomScale="120" zoomScaleNormal="120" workbookViewId="0">
      <selection activeCell="A2" sqref="A2:K11"/>
    </sheetView>
  </sheetViews>
  <sheetFormatPr defaultRowHeight="14.5"/>
  <cols>
    <col min="1" max="1" width="50" customWidth="1"/>
    <col min="2" max="2" width="16.453125" customWidth="1"/>
    <col min="3" max="4" width="13.26953125" customWidth="1"/>
    <col min="5" max="5" width="14.7265625" bestFit="1" customWidth="1"/>
    <col min="6" max="6" width="14.7265625" customWidth="1"/>
    <col min="7" max="8" width="13.26953125" customWidth="1"/>
    <col min="9" max="9" width="14.54296875" customWidth="1"/>
    <col min="10" max="20" width="11.7265625" customWidth="1"/>
  </cols>
  <sheetData>
    <row r="1" spans="1:19" ht="15" thickBot="1">
      <c r="A1" t="s">
        <v>62</v>
      </c>
      <c r="M1" t="s">
        <v>63</v>
      </c>
      <c r="N1" t="s">
        <v>64</v>
      </c>
      <c r="P1" s="239"/>
      <c r="Q1" s="239"/>
      <c r="R1" s="240"/>
      <c r="S1" s="241"/>
    </row>
    <row r="2" spans="1:19" ht="15" thickBot="1">
      <c r="B2" s="876" t="s">
        <v>59</v>
      </c>
      <c r="C2" s="877"/>
      <c r="D2" s="877"/>
      <c r="E2" s="878"/>
      <c r="F2" s="876" t="s">
        <v>65</v>
      </c>
      <c r="G2" s="877"/>
      <c r="H2" s="877"/>
      <c r="I2" s="878"/>
      <c r="P2" s="239"/>
      <c r="Q2" s="239"/>
      <c r="R2" s="240"/>
      <c r="S2" s="241"/>
    </row>
    <row r="3" spans="1:19" ht="36">
      <c r="A3" s="428"/>
      <c r="B3" s="429" t="s">
        <v>66</v>
      </c>
      <c r="C3" s="14" t="s">
        <v>67</v>
      </c>
      <c r="D3" s="21" t="s">
        <v>68</v>
      </c>
      <c r="E3" s="430" t="s">
        <v>69</v>
      </c>
      <c r="F3" s="6" t="s">
        <v>70</v>
      </c>
      <c r="G3" s="14" t="s">
        <v>71</v>
      </c>
      <c r="H3" s="43" t="s">
        <v>72</v>
      </c>
      <c r="I3" s="430" t="s">
        <v>69</v>
      </c>
      <c r="J3" s="431" t="s">
        <v>73</v>
      </c>
      <c r="K3" s="430" t="s">
        <v>74</v>
      </c>
      <c r="M3" s="242">
        <f>$E$41</f>
        <v>1.1756298786114594</v>
      </c>
      <c r="N3" s="242">
        <f>$E$29</f>
        <v>0.54035077872057702</v>
      </c>
      <c r="P3" s="243"/>
      <c r="Q3" s="241"/>
    </row>
    <row r="4" spans="1:19">
      <c r="A4" s="432" t="s">
        <v>75</v>
      </c>
      <c r="B4" s="413">
        <f>'Table 1'!B4</f>
        <v>16217.221456354999</v>
      </c>
      <c r="C4" s="593">
        <v>95.331564999999998</v>
      </c>
      <c r="D4" s="594">
        <f>'Table 1'!D4</f>
        <v>521.61785897499999</v>
      </c>
      <c r="E4" s="595">
        <f t="shared" ref="E4:E9" si="0">SUM(B4:D4)</f>
        <v>16834.170880329999</v>
      </c>
      <c r="F4" s="427">
        <f>'Table 1'!B5</f>
        <v>61292.686881883485</v>
      </c>
      <c r="G4" s="593">
        <v>407.55759999999998</v>
      </c>
      <c r="H4" s="415">
        <f>'Table 1'!D5</f>
        <v>8315.248599999999</v>
      </c>
      <c r="I4" s="421">
        <f>SUM(F4:H4)</f>
        <v>70015.493081883484</v>
      </c>
      <c r="J4" s="417">
        <f>'Ap B - Qtr Electric Master'!M39</f>
        <v>59555.727832112461</v>
      </c>
      <c r="K4" s="433">
        <f>E4/J4</f>
        <v>0.28266249936169885</v>
      </c>
      <c r="P4" s="243"/>
    </row>
    <row r="5" spans="1:19">
      <c r="A5" s="432" t="s">
        <v>76</v>
      </c>
      <c r="B5" s="413">
        <f>'Ap B - Qtr Electric Master'!R39-D5</f>
        <v>221961.55738612503</v>
      </c>
      <c r="C5" s="593">
        <v>1464.615558</v>
      </c>
      <c r="D5" s="594">
        <f>'Ap B - Qtr Electric Master'!R16+'Ap B - Qtr Electric Master'!R18</f>
        <v>8160.2890535269999</v>
      </c>
      <c r="E5" s="595">
        <f>SUM(B5:D5)</f>
        <v>231586.46199765202</v>
      </c>
      <c r="F5" s="427">
        <f>'Ap B - Qtr Electric Master'!S39-'Tables 2-6'!H5</f>
        <v>821171.14285265247</v>
      </c>
      <c r="G5" s="593">
        <v>6389.4898759999996</v>
      </c>
      <c r="H5" s="415">
        <f>'Ap B - Qtr Electric Master'!S16+'Ap B - Qtr Electric Master'!S18</f>
        <v>35957.491000000002</v>
      </c>
      <c r="I5" s="416">
        <f t="shared" ref="I5:I9" si="1">SUM(F5:H5)</f>
        <v>863518.12372865248</v>
      </c>
      <c r="J5" s="420"/>
      <c r="K5" s="434"/>
      <c r="P5" s="243"/>
    </row>
    <row r="6" spans="1:19">
      <c r="A6" s="432" t="s">
        <v>77</v>
      </c>
      <c r="B6" s="563">
        <f>(B5/B4)*B7</f>
        <v>20.997480472087442</v>
      </c>
      <c r="C6" s="596">
        <f>(C5/C4)*C7</f>
        <v>0.2948540893998331</v>
      </c>
      <c r="D6" s="564">
        <f>SUM(('Ap B - Qtr Electric Master'!R16/'Ap B - Qtr Electric Master'!L16)*('Ap B - Qtr Electric Master'!Q16-0),('Ap B - Qtr Electric Master'!Q18))-2.293</f>
        <v>1.8917675630629684</v>
      </c>
      <c r="E6" s="565">
        <f>SUM(B6:D6)</f>
        <v>23.184102124550243</v>
      </c>
      <c r="F6" s="566">
        <f>(F5/F4)*F7</f>
        <v>87.095926829752102</v>
      </c>
      <c r="G6" s="596">
        <f>(G5/G4)*G7</f>
        <v>1.3591934091759592</v>
      </c>
      <c r="H6" s="567">
        <f>SUM(('Ap B - Qtr Electric Master'!S16/'Ap B - Qtr Electric Master'!N16)*'Ap B - Qtr Electric Master'!Q16,'Ap B - Qtr Electric Master'!Q18)</f>
        <v>4.187928545672996</v>
      </c>
      <c r="I6" s="852">
        <f>SUM(F6:H6)</f>
        <v>92.643048784601064</v>
      </c>
      <c r="J6" s="435"/>
      <c r="K6" s="436"/>
      <c r="L6" s="243"/>
      <c r="P6" s="243"/>
    </row>
    <row r="7" spans="1:19">
      <c r="A7" s="432" t="s">
        <v>78</v>
      </c>
      <c r="B7" s="414">
        <f>'Ap B - Qtr Electric Master'!T39-'Tables 2-6'!D7</f>
        <v>1.5341430960000002</v>
      </c>
      <c r="C7" s="597">
        <v>1.9192000000000001E-2</v>
      </c>
      <c r="D7" s="422">
        <f>'Ap B - Qtr Electric Master'!T18+'Ap B - Qtr Electric Master'!T16</f>
        <v>1.7987999999999997E-2</v>
      </c>
      <c r="E7" s="423">
        <f>SUM(B7:D7)</f>
        <v>1.5713230960000002</v>
      </c>
      <c r="F7" s="414">
        <f>'Ap B - Qtr Electric Master'!Q39-'Tables 2-6'!H7</f>
        <v>6.5008901229999996</v>
      </c>
      <c r="G7" s="597">
        <v>8.6696999999999996E-2</v>
      </c>
      <c r="H7" s="424">
        <f>'Ap B - Qtr Electric Master'!Q16+'Ap B - Qtr Electric Master'!Q18</f>
        <v>2.434091</v>
      </c>
      <c r="I7" s="853">
        <f>SUM(F7:H7)</f>
        <v>9.0216781229999992</v>
      </c>
      <c r="J7" s="435"/>
      <c r="K7" s="436"/>
      <c r="P7" s="243"/>
    </row>
    <row r="8" spans="1:19">
      <c r="A8" s="432" t="s">
        <v>79</v>
      </c>
      <c r="B8" s="413">
        <f>'Ap B - Qtr Electric Master'!R17</f>
        <v>2285.9629</v>
      </c>
      <c r="C8" s="418">
        <f>C5</f>
        <v>1464.615558</v>
      </c>
      <c r="D8" s="419"/>
      <c r="E8" s="416">
        <f>SUM(B8:D8)</f>
        <v>3750.578458</v>
      </c>
      <c r="F8" s="427">
        <f>'Ap B - Qtr Electric Master'!S17</f>
        <v>3649.3631999999998</v>
      </c>
      <c r="G8" s="418">
        <f>G5</f>
        <v>6389.4898759999996</v>
      </c>
      <c r="H8" s="419"/>
      <c r="I8" s="416">
        <f t="shared" si="1"/>
        <v>10038.853075999999</v>
      </c>
      <c r="J8" s="435"/>
      <c r="K8" s="436"/>
      <c r="L8" s="243"/>
      <c r="M8" s="243"/>
      <c r="N8" s="243"/>
      <c r="O8" s="243"/>
      <c r="P8" s="243"/>
    </row>
    <row r="9" spans="1:19" ht="15" thickBot="1">
      <c r="A9" s="437" t="s">
        <v>80</v>
      </c>
      <c r="B9" s="412">
        <f>' Ap D - Qtr Electric Business'!J20</f>
        <v>54265.2</v>
      </c>
      <c r="C9" s="411"/>
      <c r="D9" s="425"/>
      <c r="E9" s="426">
        <f t="shared" si="0"/>
        <v>54265.2</v>
      </c>
      <c r="F9" s="412">
        <f>' Ap D - Qtr Electric Business'!L20</f>
        <v>132117.4</v>
      </c>
      <c r="G9" s="411"/>
      <c r="H9" s="425"/>
      <c r="I9" s="426">
        <f t="shared" si="1"/>
        <v>132117.4</v>
      </c>
      <c r="J9" s="438"/>
      <c r="K9" s="439"/>
      <c r="L9" s="243"/>
      <c r="M9" s="243"/>
      <c r="N9" s="243"/>
      <c r="O9" s="243"/>
      <c r="P9" s="243"/>
    </row>
    <row r="10" spans="1:19" ht="18" customHeight="1" thickBot="1">
      <c r="A10" s="547" t="s">
        <v>81</v>
      </c>
      <c r="B10" s="548"/>
      <c r="C10" s="548"/>
      <c r="D10" s="544"/>
      <c r="E10" s="548"/>
      <c r="F10" s="543">
        <f>'AP H - CostTest'!G13</f>
        <v>23809361.192895003</v>
      </c>
      <c r="G10" s="544"/>
      <c r="H10" s="544"/>
      <c r="I10" s="590">
        <f>F10</f>
        <v>23809361.192895003</v>
      </c>
      <c r="J10" s="546"/>
      <c r="K10" s="545"/>
      <c r="L10" s="243"/>
    </row>
    <row r="11" spans="1:19" ht="18" customHeight="1">
      <c r="A11" s="445" t="s">
        <v>82</v>
      </c>
      <c r="B11" s="410"/>
      <c r="C11" s="410"/>
      <c r="D11" s="410"/>
      <c r="E11" s="410"/>
      <c r="F11" s="410"/>
      <c r="G11" s="410"/>
      <c r="H11" s="410"/>
      <c r="I11" s="243"/>
      <c r="J11" s="243"/>
      <c r="K11" s="243"/>
      <c r="L11" s="243"/>
    </row>
    <row r="12" spans="1:19">
      <c r="B12" s="408"/>
      <c r="C12" s="9"/>
      <c r="D12" s="407"/>
      <c r="I12" s="243"/>
      <c r="J12" s="404"/>
      <c r="K12" s="243"/>
      <c r="L12" s="243"/>
    </row>
    <row r="13" spans="1:19">
      <c r="G13" s="403"/>
      <c r="H13" s="244"/>
      <c r="I13" s="243"/>
      <c r="J13" s="243"/>
      <c r="K13" s="243"/>
      <c r="L13" s="243"/>
    </row>
    <row r="14" spans="1:19">
      <c r="A14" s="243" t="s">
        <v>83</v>
      </c>
      <c r="G14" s="244"/>
      <c r="J14" s="243"/>
      <c r="K14" s="243"/>
      <c r="L14" s="243"/>
    </row>
    <row r="15" spans="1:19" ht="36">
      <c r="A15" s="189" t="s">
        <v>84</v>
      </c>
      <c r="B15" s="189" t="s">
        <v>85</v>
      </c>
      <c r="C15" s="31" t="s">
        <v>86</v>
      </c>
      <c r="D15" s="31" t="s">
        <v>87</v>
      </c>
      <c r="E15" s="188" t="s">
        <v>88</v>
      </c>
      <c r="G15" s="244"/>
      <c r="I15" s="403"/>
    </row>
    <row r="16" spans="1:19">
      <c r="A16" s="194" t="s">
        <v>20</v>
      </c>
      <c r="B16" s="326">
        <f>'Ap B - Qtr Electric Master'!D$19</f>
        <v>270267</v>
      </c>
      <c r="C16" s="326">
        <f>'Ap B - Qtr Electric Master'!F$19</f>
        <v>429748</v>
      </c>
      <c r="D16" s="326">
        <f>'Ap B - Qtr Electric Master'!E$19</f>
        <v>88435</v>
      </c>
      <c r="E16" s="192">
        <f>C16/D16</f>
        <v>4.859478713179171</v>
      </c>
      <c r="G16" s="244"/>
    </row>
    <row r="17" spans="1:12">
      <c r="A17" s="194" t="s">
        <v>89</v>
      </c>
      <c r="B17" s="327">
        <f>'Ap B - Qtr Electric Master'!D$32</f>
        <v>140</v>
      </c>
      <c r="C17" s="326">
        <f>'Ap B - Qtr Electric Master'!F$32</f>
        <v>1377</v>
      </c>
      <c r="D17" s="326">
        <f>'Ap B - Qtr Electric Master'!E$32</f>
        <v>2088</v>
      </c>
      <c r="E17" s="192">
        <f t="shared" ref="E17:E18" si="2">C17/D17</f>
        <v>0.65948275862068961</v>
      </c>
      <c r="G17" s="244"/>
    </row>
    <row r="18" spans="1:12" ht="16.5">
      <c r="A18" s="194" t="s">
        <v>90</v>
      </c>
      <c r="B18" s="326">
        <f>'Ap B - Qtr Electric Master'!D$26</f>
        <v>93</v>
      </c>
      <c r="C18" s="326">
        <f>'Ap B - Qtr Electric Master'!F$26</f>
        <v>317</v>
      </c>
      <c r="D18" s="326">
        <f>'Ap B - Qtr Electric Master'!E$26</f>
        <v>126748</v>
      </c>
      <c r="E18" s="192">
        <f t="shared" si="2"/>
        <v>2.5010256572095811E-3</v>
      </c>
      <c r="G18" s="244"/>
    </row>
    <row r="19" spans="1:12">
      <c r="A19" s="187" t="s">
        <v>91</v>
      </c>
      <c r="B19" s="328">
        <f>SUM(B16:B18)</f>
        <v>270500</v>
      </c>
      <c r="C19" s="191">
        <f>SUM(C16:C18)</f>
        <v>431442</v>
      </c>
      <c r="D19" s="191">
        <f>SUM(D16:D18)</f>
        <v>217271</v>
      </c>
      <c r="E19" s="190">
        <f>C19/D19</f>
        <v>1.9857321041464346</v>
      </c>
      <c r="G19" s="244"/>
    </row>
    <row r="20" spans="1:12" ht="16.5">
      <c r="A20" s="194" t="s">
        <v>92</v>
      </c>
      <c r="B20" s="653">
        <v>120</v>
      </c>
      <c r="C20" s="653">
        <v>507</v>
      </c>
      <c r="D20" s="653">
        <v>619</v>
      </c>
      <c r="E20" s="192">
        <f>C20/D20</f>
        <v>0.81906300484652661</v>
      </c>
      <c r="G20" s="244"/>
    </row>
    <row r="21" spans="1:12" ht="15" thickBot="1">
      <c r="A21" s="187" t="s">
        <v>93</v>
      </c>
      <c r="B21" s="191">
        <f>SUM(B19:B20)</f>
        <v>270620</v>
      </c>
      <c r="C21" s="191">
        <f>SUM(C19:C20)</f>
        <v>431949</v>
      </c>
      <c r="D21" s="191">
        <f>SUM(D19:D20)</f>
        <v>217890</v>
      </c>
      <c r="E21" s="190">
        <f>C21/D21</f>
        <v>1.9824177337188489</v>
      </c>
      <c r="G21" s="244"/>
    </row>
    <row r="22" spans="1:12" ht="84" customHeight="1">
      <c r="A22" s="879" t="s">
        <v>94</v>
      </c>
      <c r="B22" s="880"/>
      <c r="C22" s="880"/>
      <c r="D22" s="880"/>
      <c r="E22" s="880"/>
      <c r="F22" s="402"/>
    </row>
    <row r="24" spans="1:12">
      <c r="A24" t="s">
        <v>95</v>
      </c>
    </row>
    <row r="25" spans="1:12" ht="36">
      <c r="A25" s="189" t="s">
        <v>96</v>
      </c>
      <c r="B25" s="189" t="s">
        <v>97</v>
      </c>
      <c r="C25" s="31" t="s">
        <v>98</v>
      </c>
      <c r="D25" s="31" t="s">
        <v>99</v>
      </c>
      <c r="E25" s="188" t="s">
        <v>100</v>
      </c>
    </row>
    <row r="26" spans="1:12">
      <c r="A26" s="194" t="s">
        <v>20</v>
      </c>
      <c r="B26" s="179">
        <f>'Ap B - Qtr Electric Master'!H$19</f>
        <v>2954.7795999999998</v>
      </c>
      <c r="C26" s="179">
        <f>'Ap B - Qtr Electric Master'!J$19</f>
        <v>9325.0496000000003</v>
      </c>
      <c r="D26" s="179">
        <f>'Ap B - Qtr Electric Master'!I$19</f>
        <v>15851.740000000002</v>
      </c>
      <c r="E26" s="192">
        <f t="shared" ref="E26:E31" si="3">C26/D26</f>
        <v>0.58826662561964804</v>
      </c>
    </row>
    <row r="27" spans="1:12">
      <c r="A27" s="194" t="s">
        <v>89</v>
      </c>
      <c r="B27" s="179">
        <f>'Ap B - Qtr Electric Master'!H$32</f>
        <v>294.12380999999999</v>
      </c>
      <c r="C27" s="179">
        <f>'Ap B - Qtr Electric Master'!J$32</f>
        <v>756.12381000000005</v>
      </c>
      <c r="D27" s="179">
        <f>'Ap B - Qtr Electric Master'!I$32</f>
        <v>1364.884</v>
      </c>
      <c r="E27" s="192">
        <f t="shared" si="3"/>
        <v>0.55398393563115989</v>
      </c>
      <c r="L27" s="377"/>
    </row>
    <row r="28" spans="1:12">
      <c r="A28" s="194" t="s">
        <v>101</v>
      </c>
      <c r="B28" s="179">
        <f>'Ap B - Qtr Electric Master'!H$26</f>
        <v>2235.3010799999997</v>
      </c>
      <c r="C28" s="179">
        <f>'Ap B - Qtr Electric Master'!J$26</f>
        <v>8871.3010800000011</v>
      </c>
      <c r="D28" s="179">
        <f>'Ap B - Qtr Electric Master'!I$26</f>
        <v>17857.767000000003</v>
      </c>
      <c r="E28" s="192">
        <f t="shared" si="3"/>
        <v>0.49677549718282243</v>
      </c>
    </row>
    <row r="29" spans="1:12">
      <c r="A29" s="187" t="s">
        <v>91</v>
      </c>
      <c r="B29" s="186">
        <f>SUM(B26:B28)</f>
        <v>5484.2044900000001</v>
      </c>
      <c r="C29" s="186">
        <f>SUM(C26:C28)</f>
        <v>18952.474490000001</v>
      </c>
      <c r="D29" s="186">
        <f>SUM(D26:D28)</f>
        <v>35074.391000000003</v>
      </c>
      <c r="E29" s="190">
        <f t="shared" si="3"/>
        <v>0.54035077872057702</v>
      </c>
      <c r="L29" s="377"/>
    </row>
    <row r="30" spans="1:12">
      <c r="A30" s="194" t="s">
        <v>41</v>
      </c>
      <c r="B30" s="592">
        <v>593.07000000000005</v>
      </c>
      <c r="C30" s="592">
        <v>2039.6</v>
      </c>
      <c r="D30" s="592">
        <f>2374979.17/1000</f>
        <v>2374.9791700000001</v>
      </c>
      <c r="E30" s="192">
        <f t="shared" si="3"/>
        <v>0.85878647937783803</v>
      </c>
    </row>
    <row r="31" spans="1:12" ht="15" thickBot="1">
      <c r="A31" s="187" t="s">
        <v>93</v>
      </c>
      <c r="B31" s="186">
        <f>SUM(B29:B30)</f>
        <v>6077.2744899999998</v>
      </c>
      <c r="C31" s="186">
        <f>SUM(C29:C30)</f>
        <v>20992.074489999999</v>
      </c>
      <c r="D31" s="186">
        <f>SUM(D29:D30)</f>
        <v>37449.370170000002</v>
      </c>
      <c r="E31" s="190">
        <f t="shared" si="3"/>
        <v>0.56054546163813357</v>
      </c>
    </row>
    <row r="32" spans="1:12" ht="27" customHeight="1">
      <c r="A32" s="873" t="s">
        <v>102</v>
      </c>
      <c r="B32" s="880"/>
      <c r="C32" s="880"/>
      <c r="D32" s="880"/>
      <c r="E32" s="880"/>
      <c r="F32" s="402"/>
    </row>
    <row r="34" spans="1:10">
      <c r="A34" t="s">
        <v>103</v>
      </c>
    </row>
    <row r="35" spans="1:10" ht="36">
      <c r="A35" s="189" t="s">
        <v>104</v>
      </c>
      <c r="B35" s="189" t="s">
        <v>105</v>
      </c>
      <c r="C35" s="31" t="s">
        <v>106</v>
      </c>
      <c r="D35" s="31" t="s">
        <v>107</v>
      </c>
      <c r="E35" s="188" t="s">
        <v>108</v>
      </c>
      <c r="J35" s="239"/>
    </row>
    <row r="36" spans="1:10">
      <c r="A36" s="194" t="s">
        <v>20</v>
      </c>
      <c r="B36" s="193">
        <f>'Ap B - Qtr Electric Master'!L$19</f>
        <v>9722.9279153299976</v>
      </c>
      <c r="C36" s="193">
        <f>'Ap B - Qtr Electric Master'!N$19</f>
        <v>47326.175181883489</v>
      </c>
      <c r="D36" s="193">
        <f>'Ap B - Qtr Electric Master'!M$19</f>
        <v>19881.583999999999</v>
      </c>
      <c r="E36" s="192">
        <f>C36/D36</f>
        <v>2.3804026470870476</v>
      </c>
      <c r="J36" s="245"/>
    </row>
    <row r="37" spans="1:10">
      <c r="A37" s="194" t="s">
        <v>89</v>
      </c>
      <c r="B37" s="193">
        <f>'Ap B - Qtr Electric Master'!L$32</f>
        <v>48.620399999999997</v>
      </c>
      <c r="C37" s="193">
        <f>'Ap B - Qtr Electric Master'!N$32</f>
        <v>735.91510000000005</v>
      </c>
      <c r="D37" s="193">
        <f>'Ap B - Qtr Electric Master'!M$32</f>
        <v>2298.1190000000001</v>
      </c>
      <c r="E37" s="192">
        <f>C37/D37</f>
        <v>0.32022497529501304</v>
      </c>
      <c r="J37" s="246"/>
    </row>
    <row r="38" spans="1:10">
      <c r="A38" s="194" t="s">
        <v>101</v>
      </c>
      <c r="B38" s="193">
        <f>'Ap B - Qtr Electric Master'!L$26</f>
        <v>6967.2909999999993</v>
      </c>
      <c r="C38" s="193">
        <f>'Ap B - Qtr Electric Master'!N$26</f>
        <v>21545.8452</v>
      </c>
      <c r="D38" s="193">
        <f>'Ap B - Qtr Electric Master'!M$26</f>
        <v>37376.024832112467</v>
      </c>
      <c r="E38" s="192">
        <f>C38/D38</f>
        <v>0.57646165681826045</v>
      </c>
    </row>
    <row r="39" spans="1:10">
      <c r="A39" s="187" t="s">
        <v>91</v>
      </c>
      <c r="B39" s="191">
        <f>SUM(B36:B38)</f>
        <v>16738.839315329998</v>
      </c>
      <c r="C39" s="191">
        <f>SUM(C36:C38)</f>
        <v>69607.935481883484</v>
      </c>
      <c r="D39" s="191">
        <f>SUM(D36:D38)</f>
        <v>59555.727832112461</v>
      </c>
      <c r="E39" s="190">
        <f>C39/D39</f>
        <v>1.1687865804966431</v>
      </c>
    </row>
    <row r="40" spans="1:10">
      <c r="A40" s="194" t="s">
        <v>41</v>
      </c>
      <c r="B40" s="593">
        <v>95.331564999999998</v>
      </c>
      <c r="C40" s="593">
        <v>407.55759999999998</v>
      </c>
      <c r="D40" s="327" t="s">
        <v>109</v>
      </c>
      <c r="E40" s="329" t="s">
        <v>109</v>
      </c>
    </row>
    <row r="41" spans="1:10" ht="15" thickBot="1">
      <c r="A41" s="187" t="s">
        <v>93</v>
      </c>
      <c r="B41" s="191">
        <f>SUM(B39:B40)</f>
        <v>16834.170880329999</v>
      </c>
      <c r="C41" s="191">
        <f>SUM(C39:C40)</f>
        <v>70015.493081883484</v>
      </c>
      <c r="D41" s="191">
        <f>SUM(D39:D40)</f>
        <v>59555.727832112461</v>
      </c>
      <c r="E41" s="190">
        <f>C41/D41</f>
        <v>1.1756298786114594</v>
      </c>
    </row>
    <row r="42" spans="1:10" ht="27" customHeight="1">
      <c r="A42" s="873" t="s">
        <v>110</v>
      </c>
      <c r="B42" s="874"/>
      <c r="C42" s="874"/>
      <c r="D42" s="874"/>
      <c r="E42" s="874"/>
    </row>
    <row r="44" spans="1:10">
      <c r="A44" t="s">
        <v>111</v>
      </c>
    </row>
    <row r="45" spans="1:10" ht="47.25" customHeight="1">
      <c r="A45" s="189" t="s">
        <v>112</v>
      </c>
      <c r="B45" s="189" t="s">
        <v>113</v>
      </c>
      <c r="C45" s="31" t="s">
        <v>114</v>
      </c>
      <c r="D45" s="31" t="s">
        <v>115</v>
      </c>
      <c r="E45" s="330" t="s">
        <v>116</v>
      </c>
    </row>
    <row r="46" spans="1:10">
      <c r="A46" s="194" t="s">
        <v>117</v>
      </c>
      <c r="B46" s="592">
        <f>SUM('Ap B - Qtr Electric Master'!H11,'Ap B - Qtr Electric Master'!H38)</f>
        <v>1057.5181300000002</v>
      </c>
      <c r="C46" s="592">
        <f>SUM('Ap B - Qtr Electric Master'!J11,'Ap B - Qtr Electric Master'!J38)</f>
        <v>1339.7881300000001</v>
      </c>
      <c r="D46" s="592">
        <v>500</v>
      </c>
      <c r="E46" s="474">
        <f>C46/D46</f>
        <v>2.6795762600000002</v>
      </c>
      <c r="F46" s="377"/>
    </row>
    <row r="47" spans="1:10">
      <c r="A47" s="194" t="s">
        <v>118</v>
      </c>
      <c r="B47" s="592">
        <v>467.03234999999989</v>
      </c>
      <c r="C47" s="592">
        <v>1506.77756</v>
      </c>
      <c r="D47" s="592">
        <v>1371.44372629599</v>
      </c>
      <c r="E47" s="474">
        <f t="shared" ref="E47:E53" si="4">C47/D47</f>
        <v>1.098679829955197</v>
      </c>
      <c r="F47" s="377"/>
    </row>
    <row r="48" spans="1:10">
      <c r="A48" s="194" t="s">
        <v>119</v>
      </c>
      <c r="B48" s="592">
        <v>317.67556999999994</v>
      </c>
      <c r="C48" s="592">
        <v>1432.2401</v>
      </c>
      <c r="D48" s="592">
        <v>1498.5066260456526</v>
      </c>
      <c r="E48" s="474">
        <f t="shared" si="4"/>
        <v>0.95577828960254874</v>
      </c>
      <c r="F48" s="377"/>
    </row>
    <row r="49" spans="1:10">
      <c r="A49" s="194" t="s">
        <v>120</v>
      </c>
      <c r="B49" s="592">
        <v>1408.1014299999999</v>
      </c>
      <c r="C49" s="592">
        <v>5087.4146299999993</v>
      </c>
      <c r="D49" s="592">
        <v>6555.1739565200687</v>
      </c>
      <c r="E49" s="474">
        <f t="shared" si="4"/>
        <v>0.77609147579368654</v>
      </c>
      <c r="F49" s="377"/>
    </row>
    <row r="50" spans="1:10">
      <c r="A50" s="194" t="s">
        <v>121</v>
      </c>
      <c r="B50" s="592">
        <v>2115.9795800000002</v>
      </c>
      <c r="C50" s="592">
        <v>7467.3599900000008</v>
      </c>
      <c r="D50" s="592">
        <v>22217.839059534388</v>
      </c>
      <c r="E50" s="474">
        <f t="shared" si="4"/>
        <v>0.33609749219942781</v>
      </c>
      <c r="F50" s="377"/>
    </row>
    <row r="51" spans="1:10">
      <c r="A51" s="194" t="s">
        <v>122</v>
      </c>
      <c r="B51" s="592">
        <v>604.50000000000045</v>
      </c>
      <c r="C51" s="592">
        <v>1827.8030000000008</v>
      </c>
      <c r="D51" s="592">
        <v>2057.8517908994831</v>
      </c>
      <c r="E51" s="474">
        <f t="shared" si="4"/>
        <v>0.88820925203805445</v>
      </c>
      <c r="F51" s="377"/>
    </row>
    <row r="52" spans="1:10">
      <c r="A52" s="194" t="s">
        <v>123</v>
      </c>
      <c r="B52" s="592">
        <v>307.58842999999996</v>
      </c>
      <c r="C52" s="592">
        <v>971.00050999999985</v>
      </c>
      <c r="D52" s="592">
        <v>903.84136905969751</v>
      </c>
      <c r="E52" s="474">
        <f t="shared" si="4"/>
        <v>1.0743041237536746</v>
      </c>
      <c r="F52" s="377"/>
    </row>
    <row r="53" spans="1:10">
      <c r="A53" s="194" t="s">
        <v>124</v>
      </c>
      <c r="B53" s="592">
        <v>64.078389999999999</v>
      </c>
      <c r="C53" s="592">
        <v>210.28676999999999</v>
      </c>
      <c r="D53" s="592">
        <v>219.73431192075668</v>
      </c>
      <c r="E53" s="474">
        <f t="shared" si="4"/>
        <v>0.95700470337029664</v>
      </c>
      <c r="F53" s="377"/>
    </row>
    <row r="54" spans="1:10" ht="15" thickBot="1">
      <c r="A54" s="187" t="s">
        <v>93</v>
      </c>
      <c r="B54" s="186">
        <f>SUM(B46:B53)</f>
        <v>6342.4738800000005</v>
      </c>
      <c r="C54" s="186">
        <f>SUM(C46:C53)</f>
        <v>19842.670689999999</v>
      </c>
      <c r="D54" s="186">
        <f>SUM(D46:D53)</f>
        <v>35324.390840276043</v>
      </c>
      <c r="E54" s="475">
        <f>C54/D54</f>
        <v>0.5617271867396465</v>
      </c>
      <c r="F54" s="377"/>
    </row>
    <row r="55" spans="1:10" ht="44.5" customHeight="1">
      <c r="A55" s="873" t="s">
        <v>125</v>
      </c>
      <c r="B55" s="875"/>
      <c r="C55" s="875"/>
      <c r="D55" s="875"/>
      <c r="E55" s="875"/>
    </row>
    <row r="56" spans="1:10">
      <c r="H56" s="855"/>
      <c r="I56" s="855"/>
      <c r="J56" s="580"/>
    </row>
    <row r="57" spans="1:10">
      <c r="H57" s="855"/>
      <c r="I57" s="855"/>
      <c r="J57" s="580"/>
    </row>
    <row r="62" spans="1:10">
      <c r="A62" s="243"/>
    </row>
  </sheetData>
  <mergeCells count="6">
    <mergeCell ref="A42:E42"/>
    <mergeCell ref="A55:E55"/>
    <mergeCell ref="F2:I2"/>
    <mergeCell ref="B2:E2"/>
    <mergeCell ref="A22:E22"/>
    <mergeCell ref="A32:E3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2:O76"/>
  <sheetViews>
    <sheetView showGridLines="0" zoomScaleNormal="100" workbookViewId="0">
      <pane xSplit="1" ySplit="9" topLeftCell="B10" activePane="bottomRight" state="frozen"/>
      <selection pane="topRight" activeCell="B1" sqref="B1"/>
      <selection pane="bottomLeft" activeCell="A10" sqref="A10"/>
      <selection pane="bottomRight" activeCell="O50" sqref="O50"/>
    </sheetView>
  </sheetViews>
  <sheetFormatPr defaultRowHeight="14.5"/>
  <cols>
    <col min="1" max="1" width="6.1796875" customWidth="1"/>
    <col min="2" max="2" width="26" customWidth="1"/>
    <col min="3" max="3" width="35.1796875" bestFit="1" customWidth="1"/>
    <col min="4" max="4" width="20.54296875" customWidth="1"/>
    <col min="5" max="6" width="13.26953125" customWidth="1"/>
    <col min="7" max="7" width="11.453125" customWidth="1"/>
    <col min="8" max="9" width="13.26953125" customWidth="1"/>
    <col min="10" max="21" width="11.7265625" customWidth="1"/>
  </cols>
  <sheetData>
    <row r="2" spans="2:15">
      <c r="B2" t="s">
        <v>126</v>
      </c>
    </row>
    <row r="3" spans="2:15" ht="45.75" customHeight="1">
      <c r="B3" s="185" t="s">
        <v>127</v>
      </c>
      <c r="C3" s="184" t="s">
        <v>128</v>
      </c>
      <c r="D3" s="247" t="s">
        <v>129</v>
      </c>
      <c r="E3" s="331" t="s">
        <v>130</v>
      </c>
      <c r="F3" s="239"/>
      <c r="G3" s="239"/>
      <c r="L3" s="239"/>
      <c r="M3" s="239"/>
      <c r="N3" s="239"/>
      <c r="O3" s="239"/>
    </row>
    <row r="4" spans="2:15">
      <c r="B4" s="248" t="s">
        <v>131</v>
      </c>
      <c r="C4" s="193"/>
      <c r="D4" s="193"/>
      <c r="E4" s="192"/>
      <c r="F4" s="44"/>
      <c r="G4" s="44"/>
      <c r="I4" s="242"/>
      <c r="J4" s="242"/>
      <c r="L4" s="243"/>
      <c r="M4" s="241"/>
      <c r="N4" s="240"/>
      <c r="O4" s="241"/>
    </row>
    <row r="5" spans="2:15">
      <c r="B5" s="249" t="s">
        <v>132</v>
      </c>
      <c r="C5" s="250">
        <v>109691</v>
      </c>
      <c r="D5" s="250">
        <v>377690</v>
      </c>
      <c r="E5" s="479">
        <f>C5/(C5+D5)</f>
        <v>0.22506211772719906</v>
      </c>
      <c r="F5" s="44"/>
      <c r="G5" s="44"/>
      <c r="L5" s="243"/>
    </row>
    <row r="6" spans="2:15">
      <c r="B6" s="248" t="s">
        <v>133</v>
      </c>
      <c r="C6" s="193">
        <v>17167</v>
      </c>
      <c r="D6" s="193">
        <v>44320</v>
      </c>
      <c r="E6" s="479">
        <f>C6/(C6+D6)</f>
        <v>0.27919722868248575</v>
      </c>
      <c r="F6" s="44"/>
      <c r="G6" s="44"/>
      <c r="L6" s="243"/>
    </row>
    <row r="7" spans="2:15">
      <c r="B7" s="251" t="s">
        <v>134</v>
      </c>
      <c r="C7" s="252">
        <v>915963</v>
      </c>
      <c r="D7" s="252">
        <v>2449103.0038000471</v>
      </c>
      <c r="E7" s="480">
        <f>C7/(C7+D7)</f>
        <v>0.27219763266623481</v>
      </c>
      <c r="F7" s="253"/>
      <c r="G7" s="253"/>
      <c r="L7" s="243"/>
    </row>
    <row r="8" spans="2:15" ht="13.5" customHeight="1">
      <c r="I8" s="243"/>
      <c r="J8" s="243"/>
      <c r="K8" s="243"/>
      <c r="L8" s="243"/>
      <c r="M8" s="243"/>
    </row>
    <row r="9" spans="2:15" ht="45" customHeight="1">
      <c r="B9" s="184" t="s">
        <v>135</v>
      </c>
      <c r="C9" s="184" t="s">
        <v>136</v>
      </c>
      <c r="D9" s="184" t="s">
        <v>137</v>
      </c>
      <c r="E9" s="184" t="s">
        <v>138</v>
      </c>
      <c r="F9" s="247" t="s">
        <v>139</v>
      </c>
      <c r="G9" s="331" t="s">
        <v>130</v>
      </c>
      <c r="H9" s="184" t="s">
        <v>140</v>
      </c>
      <c r="I9" s="247" t="s">
        <v>141</v>
      </c>
      <c r="J9" s="331" t="s">
        <v>130</v>
      </c>
      <c r="K9" s="243"/>
      <c r="L9" s="243"/>
      <c r="M9" s="243"/>
    </row>
    <row r="10" spans="2:15">
      <c r="B10" s="884" t="s">
        <v>3</v>
      </c>
      <c r="C10" s="884"/>
      <c r="D10" s="884"/>
      <c r="E10" s="884"/>
      <c r="F10" s="884"/>
      <c r="G10" s="884"/>
      <c r="H10" s="884"/>
      <c r="I10" s="884"/>
      <c r="J10" s="884"/>
      <c r="K10" s="243"/>
      <c r="L10" s="243"/>
      <c r="M10" s="243"/>
    </row>
    <row r="11" spans="2:15">
      <c r="B11" s="881" t="s">
        <v>142</v>
      </c>
      <c r="C11" s="194" t="s">
        <v>22</v>
      </c>
      <c r="D11" s="194" t="s">
        <v>143</v>
      </c>
      <c r="E11" s="632">
        <v>35</v>
      </c>
      <c r="F11" s="633">
        <v>510</v>
      </c>
      <c r="G11" s="477">
        <f>IFERROR(E11/(E11+F11),"-")</f>
        <v>6.4220183486238536E-2</v>
      </c>
      <c r="H11" s="634">
        <v>129</v>
      </c>
      <c r="I11" s="635">
        <v>1506</v>
      </c>
      <c r="J11" s="476">
        <f>IFERROR(H11/(H11+I11),"-")</f>
        <v>7.8899082568807344E-2</v>
      </c>
      <c r="K11" s="243"/>
      <c r="L11" s="243"/>
      <c r="M11" s="243"/>
    </row>
    <row r="12" spans="2:15">
      <c r="B12" s="882"/>
      <c r="C12" s="194" t="s">
        <v>23</v>
      </c>
      <c r="D12" s="194" t="s">
        <v>143</v>
      </c>
      <c r="E12" s="632">
        <v>60</v>
      </c>
      <c r="F12" s="633">
        <v>735</v>
      </c>
      <c r="G12" s="477">
        <f t="shared" ref="G12:G28" si="0">IFERROR(E12/(E12+F12),"-")</f>
        <v>7.5471698113207544E-2</v>
      </c>
      <c r="H12" s="634">
        <v>364</v>
      </c>
      <c r="I12" s="635">
        <v>3006</v>
      </c>
      <c r="J12" s="476">
        <f t="shared" ref="J12:J28" si="1">IFERROR(H12/(H12+I12),"-")</f>
        <v>0.10801186943620178</v>
      </c>
      <c r="K12" s="243"/>
      <c r="L12" s="243"/>
      <c r="M12" s="243"/>
    </row>
    <row r="13" spans="2:15">
      <c r="B13" s="882"/>
      <c r="C13" s="194" t="s">
        <v>24</v>
      </c>
      <c r="D13" s="194" t="s">
        <v>143</v>
      </c>
      <c r="E13" s="632">
        <v>49</v>
      </c>
      <c r="F13" s="633">
        <v>363</v>
      </c>
      <c r="G13" s="477">
        <f t="shared" si="0"/>
        <v>0.11893203883495146</v>
      </c>
      <c r="H13" s="634">
        <v>226</v>
      </c>
      <c r="I13" s="635">
        <v>1589</v>
      </c>
      <c r="J13" s="476">
        <f t="shared" si="1"/>
        <v>0.12451790633608815</v>
      </c>
    </row>
    <row r="14" spans="2:15">
      <c r="B14" s="882"/>
      <c r="C14" s="194" t="s">
        <v>25</v>
      </c>
      <c r="D14" s="194" t="s">
        <v>143</v>
      </c>
      <c r="E14" s="632">
        <v>208</v>
      </c>
      <c r="F14" s="633">
        <v>1623</v>
      </c>
      <c r="G14" s="477">
        <f>IFERROR(E14/(E14+F14),"-")</f>
        <v>0.113599126160568</v>
      </c>
      <c r="H14" s="634">
        <v>439</v>
      </c>
      <c r="I14" s="635">
        <v>3318</v>
      </c>
      <c r="J14" s="477">
        <f>IFERROR(H14/(H14+I14),"-")</f>
        <v>0.11684854937450093</v>
      </c>
    </row>
    <row r="15" spans="2:15">
      <c r="B15" s="882"/>
      <c r="C15" s="194" t="s">
        <v>26</v>
      </c>
      <c r="D15" s="194" t="s">
        <v>143</v>
      </c>
      <c r="E15" s="632">
        <v>2800</v>
      </c>
      <c r="F15" s="633">
        <v>6914</v>
      </c>
      <c r="G15" s="477">
        <f>IFERROR(E15/(E15+F15),"-")</f>
        <v>0.28824377187564343</v>
      </c>
      <c r="H15" s="633">
        <v>2800</v>
      </c>
      <c r="I15" s="633">
        <v>23702</v>
      </c>
      <c r="J15" s="476">
        <f t="shared" si="1"/>
        <v>0.10565240359218173</v>
      </c>
    </row>
    <row r="16" spans="2:15">
      <c r="B16" s="883"/>
      <c r="C16" s="194" t="s">
        <v>27</v>
      </c>
      <c r="D16" s="194" t="s">
        <v>143</v>
      </c>
      <c r="E16" s="632">
        <v>10236</v>
      </c>
      <c r="F16" s="633">
        <v>22443</v>
      </c>
      <c r="G16" s="477">
        <f t="shared" si="0"/>
        <v>0.31322867896814466</v>
      </c>
      <c r="H16" s="633">
        <v>47035</v>
      </c>
      <c r="I16" s="633">
        <v>118204</v>
      </c>
      <c r="J16" s="476">
        <f t="shared" si="1"/>
        <v>0.28464829731479857</v>
      </c>
    </row>
    <row r="17" spans="2:12">
      <c r="B17" s="881" t="s">
        <v>144</v>
      </c>
      <c r="C17" s="194" t="s">
        <v>145</v>
      </c>
      <c r="D17" s="194" t="s">
        <v>143</v>
      </c>
      <c r="E17" s="493">
        <v>1</v>
      </c>
      <c r="F17" s="493">
        <v>56</v>
      </c>
      <c r="G17" s="477">
        <f t="shared" si="0"/>
        <v>1.7543859649122806E-2</v>
      </c>
      <c r="H17" s="493">
        <v>5</v>
      </c>
      <c r="I17" s="493">
        <v>94</v>
      </c>
      <c r="J17" s="476">
        <f t="shared" si="1"/>
        <v>5.0505050505050504E-2</v>
      </c>
    </row>
    <row r="18" spans="2:12">
      <c r="B18" s="882"/>
      <c r="C18" s="194" t="s">
        <v>30</v>
      </c>
      <c r="D18" s="13" t="s">
        <v>146</v>
      </c>
      <c r="E18" s="493">
        <v>349</v>
      </c>
      <c r="F18" s="493">
        <v>769</v>
      </c>
      <c r="G18" s="477">
        <f t="shared" si="0"/>
        <v>0.31216457960644006</v>
      </c>
      <c r="H18" s="493">
        <v>1610</v>
      </c>
      <c r="I18" s="493">
        <v>2498</v>
      </c>
      <c r="J18" s="476">
        <f t="shared" si="1"/>
        <v>0.39191820837390456</v>
      </c>
    </row>
    <row r="19" spans="2:12">
      <c r="B19" s="883"/>
      <c r="C19" s="194" t="s">
        <v>31</v>
      </c>
      <c r="D19" s="13" t="s">
        <v>146</v>
      </c>
      <c r="E19" s="493">
        <v>9</v>
      </c>
      <c r="F19" s="493">
        <v>96</v>
      </c>
      <c r="G19" s="477">
        <f t="shared" si="0"/>
        <v>8.5714285714285715E-2</v>
      </c>
      <c r="H19" s="493">
        <v>35</v>
      </c>
      <c r="I19" s="493">
        <v>177</v>
      </c>
      <c r="J19" s="476">
        <f t="shared" si="1"/>
        <v>0.1650943396226415</v>
      </c>
      <c r="L19" s="240"/>
    </row>
    <row r="20" spans="2:12" ht="29">
      <c r="B20" s="332" t="s">
        <v>147</v>
      </c>
      <c r="C20" s="194" t="s">
        <v>33</v>
      </c>
      <c r="D20" s="13" t="s">
        <v>146</v>
      </c>
      <c r="E20" s="636">
        <f>'Ap B - Qtr Electric Master'!D18*0.311</f>
        <v>69356.421000000002</v>
      </c>
      <c r="F20" s="636">
        <f>'Ap B - Qtr Electric Master'!D18-E20</f>
        <v>153654.579</v>
      </c>
      <c r="G20" s="477">
        <f t="shared" si="0"/>
        <v>0.311</v>
      </c>
      <c r="H20" s="637">
        <f>E20</f>
        <v>69356.421000000002</v>
      </c>
      <c r="I20" s="637">
        <f>F20</f>
        <v>153654.579</v>
      </c>
      <c r="J20" s="492">
        <v>0.311</v>
      </c>
      <c r="K20" t="s">
        <v>148</v>
      </c>
    </row>
    <row r="21" spans="2:12">
      <c r="B21" s="332" t="s">
        <v>149</v>
      </c>
      <c r="C21" s="194" t="s">
        <v>35</v>
      </c>
      <c r="D21" s="13" t="s">
        <v>143</v>
      </c>
      <c r="E21" s="493">
        <v>23</v>
      </c>
      <c r="F21" s="493">
        <v>1</v>
      </c>
      <c r="G21" s="477">
        <f t="shared" si="0"/>
        <v>0.95833333333333337</v>
      </c>
      <c r="H21" s="493">
        <v>24</v>
      </c>
      <c r="I21" s="493">
        <v>1</v>
      </c>
      <c r="J21" s="476">
        <f t="shared" si="1"/>
        <v>0.96</v>
      </c>
    </row>
    <row r="22" spans="2:12">
      <c r="B22" s="881" t="s">
        <v>36</v>
      </c>
      <c r="C22" s="194" t="s">
        <v>37</v>
      </c>
      <c r="D22" s="13" t="s">
        <v>143</v>
      </c>
      <c r="E22" s="493">
        <v>32</v>
      </c>
      <c r="F22" s="493">
        <v>36</v>
      </c>
      <c r="G22" s="477">
        <f t="shared" si="0"/>
        <v>0.47058823529411764</v>
      </c>
      <c r="H22" s="493">
        <v>142</v>
      </c>
      <c r="I22" s="493">
        <v>148</v>
      </c>
      <c r="J22" s="476">
        <f t="shared" si="1"/>
        <v>0.48965517241379308</v>
      </c>
    </row>
    <row r="23" spans="2:12">
      <c r="B23" s="882"/>
      <c r="C23" s="194" t="s">
        <v>38</v>
      </c>
      <c r="D23" s="13" t="s">
        <v>146</v>
      </c>
      <c r="E23" s="493">
        <v>1</v>
      </c>
      <c r="F23" s="493">
        <v>0</v>
      </c>
      <c r="G23" s="477">
        <f t="shared" si="0"/>
        <v>1</v>
      </c>
      <c r="H23" s="493">
        <v>2</v>
      </c>
      <c r="I23" s="493">
        <v>0</v>
      </c>
      <c r="J23" s="476">
        <f t="shared" si="1"/>
        <v>1</v>
      </c>
    </row>
    <row r="24" spans="2:12">
      <c r="B24" s="883"/>
      <c r="C24" s="194" t="s">
        <v>39</v>
      </c>
      <c r="D24" s="13" t="s">
        <v>146</v>
      </c>
      <c r="E24" s="493">
        <v>0</v>
      </c>
      <c r="F24" s="493">
        <v>0</v>
      </c>
      <c r="G24" s="477" t="str">
        <f t="shared" si="0"/>
        <v>-</v>
      </c>
      <c r="H24" s="493">
        <v>0</v>
      </c>
      <c r="I24" s="493">
        <v>0</v>
      </c>
      <c r="J24" s="476" t="str">
        <f t="shared" si="1"/>
        <v>-</v>
      </c>
    </row>
    <row r="25" spans="2:12">
      <c r="B25" s="881" t="s">
        <v>40</v>
      </c>
      <c r="C25" s="194" t="s">
        <v>145</v>
      </c>
      <c r="D25" s="13" t="s">
        <v>143</v>
      </c>
      <c r="E25" s="493">
        <v>3</v>
      </c>
      <c r="F25" s="493">
        <v>0</v>
      </c>
      <c r="G25" s="477">
        <f t="shared" si="0"/>
        <v>1</v>
      </c>
      <c r="H25" s="493">
        <v>3</v>
      </c>
      <c r="I25" s="493">
        <v>0</v>
      </c>
      <c r="J25" s="476">
        <f t="shared" si="1"/>
        <v>1</v>
      </c>
    </row>
    <row r="26" spans="2:12">
      <c r="B26" s="882"/>
      <c r="C26" s="194" t="s">
        <v>35</v>
      </c>
      <c r="D26" s="13" t="s">
        <v>143</v>
      </c>
      <c r="E26" s="493">
        <v>2</v>
      </c>
      <c r="F26" s="493">
        <v>135</v>
      </c>
      <c r="G26" s="477">
        <f t="shared" si="0"/>
        <v>1.4598540145985401E-2</v>
      </c>
      <c r="H26" s="493">
        <v>837</v>
      </c>
      <c r="I26" s="493">
        <v>537</v>
      </c>
      <c r="J26" s="476">
        <f t="shared" si="1"/>
        <v>0.60917030567685593</v>
      </c>
    </row>
    <row r="27" spans="2:12">
      <c r="B27" s="882"/>
      <c r="C27" s="194" t="s">
        <v>37</v>
      </c>
      <c r="D27" s="13" t="s">
        <v>143</v>
      </c>
      <c r="E27" s="493">
        <v>0</v>
      </c>
      <c r="F27" s="493">
        <v>0</v>
      </c>
      <c r="G27" s="477" t="str">
        <f t="shared" si="0"/>
        <v>-</v>
      </c>
      <c r="H27" s="493">
        <v>0</v>
      </c>
      <c r="I27" s="493">
        <v>0</v>
      </c>
      <c r="J27" s="476" t="str">
        <f t="shared" si="1"/>
        <v>-</v>
      </c>
    </row>
    <row r="28" spans="2:12">
      <c r="B28" s="883"/>
      <c r="C28" s="194" t="s">
        <v>39</v>
      </c>
      <c r="D28" s="13" t="s">
        <v>143</v>
      </c>
      <c r="E28" s="493">
        <v>0</v>
      </c>
      <c r="F28" s="493">
        <v>0</v>
      </c>
      <c r="G28" s="477" t="str">
        <f t="shared" si="0"/>
        <v>-</v>
      </c>
      <c r="H28" s="493">
        <v>0</v>
      </c>
      <c r="I28" s="493">
        <v>0</v>
      </c>
      <c r="J28" s="476" t="str">
        <f t="shared" si="1"/>
        <v>-</v>
      </c>
    </row>
    <row r="29" spans="2:12">
      <c r="B29" s="334"/>
      <c r="C29" s="886" t="s">
        <v>150</v>
      </c>
      <c r="D29" s="887"/>
      <c r="E29" s="333">
        <f>SUMIF($D$11:$D$28, "Core", E$11:E$28)</f>
        <v>13449</v>
      </c>
      <c r="F29" s="333">
        <f>SUMIF($D$11:$D$28, "Core", F$11:F$28)</f>
        <v>32816</v>
      </c>
      <c r="G29" s="478">
        <f>E29/(E29+F29)</f>
        <v>0.29069490975899709</v>
      </c>
      <c r="H29" s="333">
        <f>SUMIF($D$11:$D$28, "Core", H$11:H$28)</f>
        <v>52004</v>
      </c>
      <c r="I29" s="333">
        <f>SUMIF($D$11:$D$28, "Core", I$11:I$28)</f>
        <v>152105</v>
      </c>
      <c r="J29" s="478">
        <f>H29/(H29+I29)</f>
        <v>0.25478543327339803</v>
      </c>
    </row>
    <row r="30" spans="2:12">
      <c r="B30" s="334"/>
      <c r="C30" s="886" t="s">
        <v>151</v>
      </c>
      <c r="D30" s="887"/>
      <c r="E30" s="333">
        <f>SUMIF($D$11:$D$28, "Additional", E$11:E$28)</f>
        <v>69715.421000000002</v>
      </c>
      <c r="F30" s="333">
        <f>SUMIF($D$11:$D$28, "Additional", F$11:F$28)</f>
        <v>154519.579</v>
      </c>
      <c r="G30" s="478">
        <f>E30/(E30+F30)</f>
        <v>0.31090338707159898</v>
      </c>
      <c r="H30" s="333">
        <f>SUMIF($D$11:$D$28, "Additional", H$11:H$28)</f>
        <v>71003.421000000002</v>
      </c>
      <c r="I30" s="333">
        <f>SUMIF($D$11:$D$28, "Additional", I$11:I$28)</f>
        <v>156329.579</v>
      </c>
      <c r="J30" s="478">
        <f>H30/(H30+I30)</f>
        <v>0.31233222189475351</v>
      </c>
    </row>
    <row r="31" spans="2:12">
      <c r="B31" s="334"/>
      <c r="C31" s="886" t="s">
        <v>152</v>
      </c>
      <c r="D31" s="887"/>
      <c r="E31" s="333">
        <f>SUM(E11:E28)</f>
        <v>83164.421000000002</v>
      </c>
      <c r="F31" s="333">
        <f>SUM(F11:F28)</f>
        <v>187335.579</v>
      </c>
      <c r="G31" s="478">
        <f>E31/(E31+F31)</f>
        <v>0.30744702772643256</v>
      </c>
      <c r="H31" s="333">
        <f>SUM(H11:H28)</f>
        <v>123007.421</v>
      </c>
      <c r="I31" s="333">
        <f>SUM(I11:I28)</f>
        <v>308434.57900000003</v>
      </c>
      <c r="J31" s="478">
        <f>H31/(H31+I31)</f>
        <v>0.28510766452964709</v>
      </c>
    </row>
    <row r="32" spans="2:12">
      <c r="B32" s="885" t="s">
        <v>75</v>
      </c>
      <c r="C32" s="885"/>
      <c r="D32" s="885"/>
      <c r="E32" s="885"/>
      <c r="F32" s="885"/>
      <c r="G32" s="885"/>
      <c r="H32" s="885"/>
      <c r="I32" s="885"/>
      <c r="J32" s="885"/>
    </row>
    <row r="33" spans="2:11">
      <c r="B33" s="881" t="s">
        <v>21</v>
      </c>
      <c r="C33" s="194" t="s">
        <v>22</v>
      </c>
      <c r="D33" s="194" t="s">
        <v>143</v>
      </c>
      <c r="E33" s="632">
        <v>24.727430000000002</v>
      </c>
      <c r="F33" s="633">
        <v>218.19260999999995</v>
      </c>
      <c r="G33" s="477">
        <f>IFERROR(E33/(E33+F33),"-")</f>
        <v>0.10179246636053578</v>
      </c>
      <c r="H33" s="632">
        <v>87.537170000000003</v>
      </c>
      <c r="I33" s="633">
        <v>690.68674999999962</v>
      </c>
      <c r="J33" s="476">
        <f>IFERROR(H33/(H33+I33),"-")</f>
        <v>0.11248326831177335</v>
      </c>
      <c r="K33" s="245"/>
    </row>
    <row r="34" spans="2:11">
      <c r="B34" s="882"/>
      <c r="C34" s="194" t="s">
        <v>23</v>
      </c>
      <c r="D34" s="194" t="s">
        <v>143</v>
      </c>
      <c r="E34" s="632">
        <v>5.0827359999999997</v>
      </c>
      <c r="F34" s="633">
        <v>70.669939999999755</v>
      </c>
      <c r="G34" s="477">
        <f t="shared" ref="G34:G50" si="2">IFERROR(E34/(E34+F34),"-")</f>
        <v>6.7096454783986986E-2</v>
      </c>
      <c r="H34" s="632">
        <v>47.706792199999967</v>
      </c>
      <c r="I34" s="633">
        <v>349.70495690000041</v>
      </c>
      <c r="J34" s="476">
        <f>IFERROR(H34/(H34+I34),"-")</f>
        <v>0.12004373878738936</v>
      </c>
      <c r="K34" s="245"/>
    </row>
    <row r="35" spans="2:11">
      <c r="B35" s="882"/>
      <c r="C35" s="194" t="s">
        <v>24</v>
      </c>
      <c r="D35" s="194" t="s">
        <v>143</v>
      </c>
      <c r="E35" s="632">
        <v>54.097999999999978</v>
      </c>
      <c r="F35" s="633">
        <v>406.41900000000197</v>
      </c>
      <c r="G35" s="477">
        <f t="shared" si="2"/>
        <v>0.11747231915434121</v>
      </c>
      <c r="H35" s="632">
        <v>253.11799999999991</v>
      </c>
      <c r="I35" s="633">
        <v>1757.5480000000084</v>
      </c>
      <c r="J35" s="476">
        <f t="shared" ref="J35:J50" si="3">IFERROR(H35/(H35+I35),"-")</f>
        <v>0.12588764120942955</v>
      </c>
      <c r="K35" s="245"/>
    </row>
    <row r="36" spans="2:11">
      <c r="B36" s="882"/>
      <c r="C36" s="194" t="s">
        <v>25</v>
      </c>
      <c r="D36" s="194" t="s">
        <v>143</v>
      </c>
      <c r="E36" s="632">
        <v>34.622961640000021</v>
      </c>
      <c r="F36" s="633">
        <v>242.31225771499766</v>
      </c>
      <c r="G36" s="477">
        <f t="shared" si="2"/>
        <v>0.12502187955955701</v>
      </c>
      <c r="H36" s="632">
        <v>67.872544217500035</v>
      </c>
      <c r="I36" s="633">
        <v>485.91578466599663</v>
      </c>
      <c r="J36" s="476">
        <f t="shared" si="3"/>
        <v>0.12256044534983102</v>
      </c>
      <c r="K36" s="245"/>
    </row>
    <row r="37" spans="2:11">
      <c r="B37" s="882"/>
      <c r="C37" s="194" t="s">
        <v>26</v>
      </c>
      <c r="D37" s="194" t="s">
        <v>143</v>
      </c>
      <c r="E37" s="632">
        <v>757.25779999999997</v>
      </c>
      <c r="F37" s="633">
        <v>1869.8852000000002</v>
      </c>
      <c r="G37" s="477">
        <f t="shared" si="2"/>
        <v>0.28824384511996493</v>
      </c>
      <c r="H37" s="632">
        <v>757.25779999999997</v>
      </c>
      <c r="I37" s="633">
        <v>6442.632106</v>
      </c>
      <c r="J37" s="476">
        <f t="shared" si="3"/>
        <v>0.10517630267775929</v>
      </c>
      <c r="K37" s="245"/>
    </row>
    <row r="38" spans="2:11">
      <c r="B38" s="883"/>
      <c r="C38" s="194" t="s">
        <v>27</v>
      </c>
      <c r="D38" s="194" t="s">
        <v>143</v>
      </c>
      <c r="E38" s="632">
        <v>1618.5151520000079</v>
      </c>
      <c r="F38" s="633">
        <v>3693.6956180000016</v>
      </c>
      <c r="G38" s="477">
        <f t="shared" si="2"/>
        <v>0.30467826335889248</v>
      </c>
      <c r="H38" s="632">
        <v>6950.0732020000205</v>
      </c>
      <c r="I38" s="633">
        <v>18424.474075999926</v>
      </c>
      <c r="J38" s="476">
        <f t="shared" si="3"/>
        <v>0.27389939713430167</v>
      </c>
      <c r="K38" s="245"/>
    </row>
    <row r="39" spans="2:11">
      <c r="B39" s="881" t="s">
        <v>28</v>
      </c>
      <c r="C39" s="194" t="s">
        <v>145</v>
      </c>
      <c r="D39" s="194" t="s">
        <v>143</v>
      </c>
      <c r="E39" s="493">
        <v>0.127118377</v>
      </c>
      <c r="F39" s="493">
        <v>33.949621386000004</v>
      </c>
      <c r="G39" s="477">
        <f t="shared" si="2"/>
        <v>3.7303561867741571E-3</v>
      </c>
      <c r="H39" s="493">
        <v>4.0550194560000001</v>
      </c>
      <c r="I39" s="493">
        <v>68.185820156000005</v>
      </c>
      <c r="J39" s="476">
        <f t="shared" si="3"/>
        <v>5.613195358441566E-2</v>
      </c>
    </row>
    <row r="40" spans="2:11">
      <c r="B40" s="882"/>
      <c r="C40" s="194" t="s">
        <v>30</v>
      </c>
      <c r="D40" s="13" t="s">
        <v>146</v>
      </c>
      <c r="E40" s="493">
        <v>177.16519972799998</v>
      </c>
      <c r="F40" s="493">
        <v>438.4526639449997</v>
      </c>
      <c r="G40" s="477">
        <f t="shared" si="2"/>
        <v>0.28778437108853222</v>
      </c>
      <c r="H40" s="493">
        <v>696.65585576700107</v>
      </c>
      <c r="I40" s="493">
        <v>1338.5927597639984</v>
      </c>
      <c r="J40" s="476">
        <f t="shared" si="3"/>
        <v>0.34229521172539529</v>
      </c>
    </row>
    <row r="41" spans="2:11">
      <c r="B41" s="883"/>
      <c r="C41" s="194" t="s">
        <v>31</v>
      </c>
      <c r="D41" s="13" t="s">
        <v>146</v>
      </c>
      <c r="E41" s="493">
        <v>15.370388992000001</v>
      </c>
      <c r="F41" s="493">
        <v>156.44324439700009</v>
      </c>
      <c r="G41" s="477">
        <f t="shared" si="2"/>
        <v>8.9459658636053555E-2</v>
      </c>
      <c r="H41" s="493">
        <v>45.451616856000001</v>
      </c>
      <c r="I41" s="493">
        <v>235.76674282900007</v>
      </c>
      <c r="J41" s="476">
        <f t="shared" si="3"/>
        <v>0.16162393133546304</v>
      </c>
    </row>
    <row r="42" spans="2:11" ht="29">
      <c r="B42" s="332" t="s">
        <v>32</v>
      </c>
      <c r="C42" s="194" t="s">
        <v>33</v>
      </c>
      <c r="D42" s="13" t="s">
        <v>146</v>
      </c>
      <c r="E42" s="493">
        <f>'Ap B - Qtr Electric Master'!L18*0.311</f>
        <v>-29.233999999999998</v>
      </c>
      <c r="F42" s="493">
        <f>'Ap B - Qtr Electric Master'!L18-E42</f>
        <v>-64.766000000000005</v>
      </c>
      <c r="G42" s="477">
        <f t="shared" si="2"/>
        <v>0.311</v>
      </c>
      <c r="H42" s="493">
        <f>'Ap B - Qtr Electric Master'!N18*0.311</f>
        <v>2681.7530000000002</v>
      </c>
      <c r="I42" s="493">
        <f>'Ap B - Qtr Electric Master'!N18-H42</f>
        <v>5941.2469999999994</v>
      </c>
      <c r="J42" s="476">
        <f t="shared" si="3"/>
        <v>0.311</v>
      </c>
    </row>
    <row r="43" spans="2:11">
      <c r="B43" s="332" t="s">
        <v>149</v>
      </c>
      <c r="C43" s="194" t="s">
        <v>35</v>
      </c>
      <c r="D43" s="13" t="s">
        <v>143</v>
      </c>
      <c r="E43" s="493">
        <v>297</v>
      </c>
      <c r="F43" s="493">
        <v>61</v>
      </c>
      <c r="G43" s="477">
        <f t="shared" si="2"/>
        <v>0.82960893854748607</v>
      </c>
      <c r="H43" s="493">
        <v>318</v>
      </c>
      <c r="I43" s="493">
        <v>60</v>
      </c>
      <c r="J43" s="476">
        <f t="shared" si="3"/>
        <v>0.84126984126984128</v>
      </c>
    </row>
    <row r="44" spans="2:11">
      <c r="B44" s="881" t="s">
        <v>36</v>
      </c>
      <c r="C44" s="194" t="s">
        <v>37</v>
      </c>
      <c r="D44" s="13" t="s">
        <v>143</v>
      </c>
      <c r="E44" s="638">
        <v>3055</v>
      </c>
      <c r="F44" s="493">
        <v>3313</v>
      </c>
      <c r="G44" s="477">
        <f t="shared" si="2"/>
        <v>0.47974246231155782</v>
      </c>
      <c r="H44" s="493">
        <v>7755</v>
      </c>
      <c r="I44" s="493">
        <v>12931</v>
      </c>
      <c r="J44" s="476">
        <f t="shared" si="3"/>
        <v>0.37489123078410519</v>
      </c>
    </row>
    <row r="45" spans="2:11">
      <c r="B45" s="882"/>
      <c r="C45" s="194" t="s">
        <v>38</v>
      </c>
      <c r="D45" s="13" t="s">
        <v>146</v>
      </c>
      <c r="E45" s="493">
        <v>241</v>
      </c>
      <c r="F45" s="493">
        <v>0</v>
      </c>
      <c r="G45" s="477">
        <f t="shared" si="2"/>
        <v>1</v>
      </c>
      <c r="H45" s="493">
        <v>482</v>
      </c>
      <c r="I45" s="493">
        <v>0</v>
      </c>
      <c r="J45" s="476">
        <f t="shared" si="3"/>
        <v>1</v>
      </c>
    </row>
    <row r="46" spans="2:11">
      <c r="B46" s="883"/>
      <c r="C46" s="194" t="s">
        <v>39</v>
      </c>
      <c r="D46" s="13" t="s">
        <v>146</v>
      </c>
      <c r="E46" s="493">
        <v>0</v>
      </c>
      <c r="F46" s="493">
        <v>0</v>
      </c>
      <c r="G46" s="477" t="str">
        <f t="shared" si="2"/>
        <v>-</v>
      </c>
      <c r="H46" s="493">
        <v>0</v>
      </c>
      <c r="I46" s="493">
        <v>0</v>
      </c>
      <c r="J46" s="476" t="str">
        <f t="shared" si="3"/>
        <v>-</v>
      </c>
    </row>
    <row r="47" spans="2:11">
      <c r="B47" s="881" t="s">
        <v>40</v>
      </c>
      <c r="C47" s="194" t="s">
        <v>145</v>
      </c>
      <c r="D47" s="13" t="s">
        <v>143</v>
      </c>
      <c r="E47" s="493">
        <v>0</v>
      </c>
      <c r="F47" s="493">
        <v>0</v>
      </c>
      <c r="G47" s="477" t="str">
        <f t="shared" si="2"/>
        <v>-</v>
      </c>
      <c r="H47" s="493">
        <v>0</v>
      </c>
      <c r="I47" s="493">
        <v>0</v>
      </c>
      <c r="J47" s="476" t="str">
        <f t="shared" si="3"/>
        <v>-</v>
      </c>
    </row>
    <row r="48" spans="2:11">
      <c r="B48" s="882"/>
      <c r="C48" s="194" t="s">
        <v>35</v>
      </c>
      <c r="D48" s="13" t="s">
        <v>143</v>
      </c>
      <c r="E48" s="493">
        <v>5.1774029999999999E-2</v>
      </c>
      <c r="F48" s="493">
        <v>48.56867565999999</v>
      </c>
      <c r="G48" s="477">
        <f t="shared" si="2"/>
        <v>1.0648611917435356E-3</v>
      </c>
      <c r="H48" s="493">
        <v>428.38281101999894</v>
      </c>
      <c r="I48" s="493">
        <v>307.53228322400025</v>
      </c>
      <c r="J48" s="476">
        <f t="shared" si="3"/>
        <v>0.58210901552450667</v>
      </c>
    </row>
    <row r="49" spans="2:10">
      <c r="B49" s="882"/>
      <c r="C49" s="194" t="s">
        <v>37</v>
      </c>
      <c r="D49" s="13" t="s">
        <v>143</v>
      </c>
      <c r="E49" s="493">
        <v>0</v>
      </c>
      <c r="F49" s="493">
        <v>0</v>
      </c>
      <c r="G49" s="477" t="str">
        <f t="shared" si="2"/>
        <v>-</v>
      </c>
      <c r="H49" s="493">
        <v>0</v>
      </c>
      <c r="I49" s="493">
        <v>0</v>
      </c>
      <c r="J49" s="476" t="str">
        <f t="shared" si="3"/>
        <v>-</v>
      </c>
    </row>
    <row r="50" spans="2:10">
      <c r="B50" s="883"/>
      <c r="C50" s="194" t="s">
        <v>39</v>
      </c>
      <c r="D50" s="13" t="s">
        <v>143</v>
      </c>
      <c r="E50" s="493">
        <v>0</v>
      </c>
      <c r="F50" s="493">
        <v>0</v>
      </c>
      <c r="G50" s="477" t="str">
        <f t="shared" si="2"/>
        <v>-</v>
      </c>
      <c r="H50" s="493">
        <v>0</v>
      </c>
      <c r="I50" s="493">
        <v>0</v>
      </c>
      <c r="J50" s="476" t="str">
        <f t="shared" si="3"/>
        <v>-</v>
      </c>
    </row>
    <row r="51" spans="2:10">
      <c r="B51" s="334"/>
      <c r="C51" s="886" t="s">
        <v>153</v>
      </c>
      <c r="D51" s="887"/>
      <c r="E51" s="333">
        <f>SUMIF($D$33:$D$50, "Core", E$33:E$50)</f>
        <v>5846.4829720470079</v>
      </c>
      <c r="F51" s="333">
        <f>SUMIF($D$33:$D$50, "Core", F$33:F$50)</f>
        <v>9957.6929227610017</v>
      </c>
      <c r="G51" s="478">
        <f>E51/(E51+F51)</f>
        <v>0.36993279567128173</v>
      </c>
      <c r="H51" s="333">
        <f>SUMIF($D$33:$D$50, "Core", H$33:H$50)</f>
        <v>16669.003338893519</v>
      </c>
      <c r="I51" s="333">
        <f>SUMIF($D$33:$D$50, "Core", I$33:I$50)</f>
        <v>41517.67977694593</v>
      </c>
      <c r="J51" s="478">
        <f>H51/(H51+I51)</f>
        <v>0.28647454101668701</v>
      </c>
    </row>
    <row r="52" spans="2:10">
      <c r="B52" s="334"/>
      <c r="C52" s="886" t="s">
        <v>154</v>
      </c>
      <c r="D52" s="887"/>
      <c r="E52" s="333">
        <f>SUMIF($D$33:$D$50, "Additional", E$33:E$50)</f>
        <v>404.30158871999993</v>
      </c>
      <c r="F52" s="333">
        <f>SUMIF($D$33:$D$50, "Additional", F$33:F$50)</f>
        <v>530.12990834199979</v>
      </c>
      <c r="G52" s="478">
        <f>E52/(E52+F52)</f>
        <v>0.43267119097674683</v>
      </c>
      <c r="H52" s="333">
        <f>SUMIF($D$33:$D$50, "Additional", H$33:H$50)</f>
        <v>3905.8604726230014</v>
      </c>
      <c r="I52" s="333">
        <f>SUMIF($D$33:$D$50, "Additional", I$33:I$50)</f>
        <v>7515.6065025929984</v>
      </c>
      <c r="J52" s="478">
        <f>H52/(H52+I52)</f>
        <v>0.34197537681442486</v>
      </c>
    </row>
    <row r="53" spans="2:10">
      <c r="B53" s="334"/>
      <c r="C53" s="886" t="s">
        <v>155</v>
      </c>
      <c r="D53" s="887"/>
      <c r="E53" s="333">
        <f>SUM(E33:E50)</f>
        <v>6250.7845607670079</v>
      </c>
      <c r="F53" s="333">
        <f>SUM(F33:F50)</f>
        <v>10487.822831103002</v>
      </c>
      <c r="G53" s="478">
        <f>E53/(E53+F53)</f>
        <v>0.37343516186436349</v>
      </c>
      <c r="H53" s="333">
        <f>SUM(H33:H50)</f>
        <v>20574.863811516519</v>
      </c>
      <c r="I53" s="333">
        <f>SUM(I33:I50)</f>
        <v>49033.28627953893</v>
      </c>
      <c r="J53" s="478">
        <f>H53/(H53+I53)</f>
        <v>0.29558124708963301</v>
      </c>
    </row>
    <row r="54" spans="2:10">
      <c r="B54" s="885" t="s">
        <v>156</v>
      </c>
      <c r="C54" s="885"/>
      <c r="D54" s="885"/>
      <c r="E54" s="885"/>
      <c r="F54" s="885"/>
      <c r="G54" s="885"/>
      <c r="H54" s="885"/>
      <c r="I54" s="885"/>
      <c r="J54" s="885"/>
    </row>
    <row r="55" spans="2:10">
      <c r="B55" s="881" t="s">
        <v>21</v>
      </c>
      <c r="C55" s="194" t="s">
        <v>22</v>
      </c>
      <c r="D55" s="194" t="s">
        <v>143</v>
      </c>
      <c r="E55" s="632">
        <v>408.55359999999996</v>
      </c>
      <c r="F55" s="633">
        <v>3429.4534400000011</v>
      </c>
      <c r="G55" s="477">
        <f t="shared" ref="G55:G72" si="4">IFERROR(E55/(E55+F55),"-")</f>
        <v>0.1064494139124872</v>
      </c>
      <c r="H55" s="632">
        <v>1435.4003600000001</v>
      </c>
      <c r="I55" s="633">
        <v>10875.582910000008</v>
      </c>
      <c r="J55" s="476">
        <f t="shared" ref="J55:J72" si="5">IFERROR(H55/(H55+I55),"-")</f>
        <v>0.11659510280530169</v>
      </c>
    </row>
    <row r="56" spans="2:10">
      <c r="B56" s="882"/>
      <c r="C56" s="194" t="s">
        <v>23</v>
      </c>
      <c r="D56" s="194" t="s">
        <v>143</v>
      </c>
      <c r="E56" s="632">
        <v>61.573866999999979</v>
      </c>
      <c r="F56" s="633">
        <v>834.23421700000404</v>
      </c>
      <c r="G56" s="477">
        <f t="shared" si="4"/>
        <v>6.873555630917895E-2</v>
      </c>
      <c r="H56" s="632">
        <v>529.82792809999967</v>
      </c>
      <c r="I56" s="633">
        <v>3933.8589331000212</v>
      </c>
      <c r="J56" s="476">
        <f t="shared" si="5"/>
        <v>0.11869737832764558</v>
      </c>
    </row>
    <row r="57" spans="2:10">
      <c r="B57" s="882"/>
      <c r="C57" s="194" t="s">
        <v>24</v>
      </c>
      <c r="D57" s="194" t="s">
        <v>143</v>
      </c>
      <c r="E57" s="632">
        <v>266.17000000000019</v>
      </c>
      <c r="F57" s="633">
        <v>1987.8070000000016</v>
      </c>
      <c r="G57" s="477">
        <f t="shared" si="4"/>
        <v>0.11808904882347956</v>
      </c>
      <c r="H57" s="632">
        <v>1233.1290000000008</v>
      </c>
      <c r="I57" s="633">
        <v>8549.8479999999945</v>
      </c>
      <c r="J57" s="476">
        <f t="shared" si="5"/>
        <v>0.12604844108291385</v>
      </c>
    </row>
    <row r="58" spans="2:10">
      <c r="B58" s="882"/>
      <c r="C58" s="194" t="s">
        <v>25</v>
      </c>
      <c r="D58" s="194" t="s">
        <v>143</v>
      </c>
      <c r="E58" s="632">
        <v>274.32567460000001</v>
      </c>
      <c r="F58" s="633">
        <v>1886.1807157250057</v>
      </c>
      <c r="G58" s="477">
        <f t="shared" si="4"/>
        <v>0.12697285961682953</v>
      </c>
      <c r="H58" s="632">
        <v>564.48468826250019</v>
      </c>
      <c r="I58" s="633">
        <v>4017.748219990001</v>
      </c>
      <c r="J58" s="476">
        <f t="shared" si="5"/>
        <v>0.12318987261557038</v>
      </c>
    </row>
    <row r="59" spans="2:10">
      <c r="B59" s="882"/>
      <c r="C59" s="194" t="s">
        <v>26</v>
      </c>
      <c r="D59" s="194" t="s">
        <v>143</v>
      </c>
      <c r="E59" s="632">
        <v>9343.9869999999992</v>
      </c>
      <c r="F59" s="633">
        <v>23072.97</v>
      </c>
      <c r="G59" s="477">
        <f t="shared" si="4"/>
        <v>0.28824380400664995</v>
      </c>
      <c r="H59" s="632">
        <v>9343.9869999999992</v>
      </c>
      <c r="I59" s="633">
        <v>79583.52900000001</v>
      </c>
      <c r="J59" s="476">
        <f t="shared" si="5"/>
        <v>0.10507419323395921</v>
      </c>
    </row>
    <row r="60" spans="2:10">
      <c r="B60" s="883"/>
      <c r="C60" s="194" t="s">
        <v>27</v>
      </c>
      <c r="D60" s="194" t="s">
        <v>143</v>
      </c>
      <c r="E60" s="632">
        <v>24277.726501499994</v>
      </c>
      <c r="F60" s="633">
        <v>55405.432599000087</v>
      </c>
      <c r="G60" s="477">
        <f t="shared" si="4"/>
        <v>0.30467826295490874</v>
      </c>
      <c r="H60" s="632">
        <v>104251.09224750003</v>
      </c>
      <c r="I60" s="633">
        <v>276367.09684380091</v>
      </c>
      <c r="J60" s="476">
        <f t="shared" si="5"/>
        <v>0.27389939639088756</v>
      </c>
    </row>
    <row r="61" spans="2:10">
      <c r="B61" s="881" t="s">
        <v>28</v>
      </c>
      <c r="C61" s="493" t="str">
        <f>C39</f>
        <v>Home Performance with Energy Star</v>
      </c>
      <c r="D61" s="194" t="s">
        <v>143</v>
      </c>
      <c r="E61" s="493">
        <v>3.7374385819999998</v>
      </c>
      <c r="F61" s="493">
        <v>816.19967100999997</v>
      </c>
      <c r="G61" s="477">
        <f t="shared" si="4"/>
        <v>4.5582015233579885E-3</v>
      </c>
      <c r="H61" s="493">
        <v>102.796120105</v>
      </c>
      <c r="I61" s="493">
        <v>1714.8760267939999</v>
      </c>
      <c r="J61" s="476">
        <f t="shared" si="5"/>
        <v>5.6553719151373416E-2</v>
      </c>
    </row>
    <row r="62" spans="2:10">
      <c r="B62" s="882"/>
      <c r="C62" s="194" t="s">
        <v>30</v>
      </c>
      <c r="D62" s="13" t="s">
        <v>146</v>
      </c>
      <c r="E62" s="493">
        <v>2358.1072319190016</v>
      </c>
      <c r="F62" s="493">
        <v>5896.1818959529946</v>
      </c>
      <c r="G62" s="477">
        <f t="shared" si="4"/>
        <v>0.28568265484624905</v>
      </c>
      <c r="H62" s="493">
        <v>9150.4914576370102</v>
      </c>
      <c r="I62" s="493">
        <v>18183.999746889971</v>
      </c>
      <c r="J62" s="476">
        <f t="shared" si="5"/>
        <v>0.33475989690715585</v>
      </c>
    </row>
    <row r="63" spans="2:10">
      <c r="B63" s="883"/>
      <c r="C63" s="194" t="s">
        <v>31</v>
      </c>
      <c r="D63" s="13" t="s">
        <v>146</v>
      </c>
      <c r="E63" s="493">
        <v>183.62104142999999</v>
      </c>
      <c r="F63" s="493">
        <v>2102.3418566359996</v>
      </c>
      <c r="G63" s="477">
        <f t="shared" si="4"/>
        <v>8.0325468792756649E-2</v>
      </c>
      <c r="H63" s="493">
        <v>523.11794178900004</v>
      </c>
      <c r="I63" s="493">
        <v>3126.2452624319994</v>
      </c>
      <c r="J63" s="476">
        <f t="shared" si="5"/>
        <v>0.14334499267815845</v>
      </c>
    </row>
    <row r="64" spans="2:10" ht="29">
      <c r="B64" s="332" t="s">
        <v>32</v>
      </c>
      <c r="C64" s="194" t="s">
        <v>33</v>
      </c>
      <c r="D64" s="13" t="s">
        <v>146</v>
      </c>
      <c r="E64" s="493">
        <f>E42</f>
        <v>-29.233999999999998</v>
      </c>
      <c r="F64" s="493">
        <f>F42</f>
        <v>-64.766000000000005</v>
      </c>
      <c r="G64" s="477">
        <f t="shared" si="4"/>
        <v>0.311</v>
      </c>
      <c r="H64" s="493">
        <f>H42</f>
        <v>2681.7530000000002</v>
      </c>
      <c r="I64" s="493">
        <f>I42</f>
        <v>5941.2469999999994</v>
      </c>
      <c r="J64" s="476">
        <f t="shared" si="5"/>
        <v>0.311</v>
      </c>
    </row>
    <row r="65" spans="2:10">
      <c r="B65" s="332" t="s">
        <v>149</v>
      </c>
      <c r="C65" s="194" t="s">
        <v>35</v>
      </c>
      <c r="D65" s="13" t="s">
        <v>143</v>
      </c>
      <c r="E65" s="493">
        <v>4458</v>
      </c>
      <c r="F65" s="493">
        <v>860</v>
      </c>
      <c r="G65" s="477">
        <f t="shared" si="4"/>
        <v>0.83828506957502824</v>
      </c>
      <c r="H65" s="493">
        <v>4755</v>
      </c>
      <c r="I65" s="493">
        <v>860</v>
      </c>
      <c r="J65" s="476">
        <f t="shared" si="5"/>
        <v>0.84683882457702586</v>
      </c>
    </row>
    <row r="66" spans="2:10">
      <c r="B66" s="881" t="s">
        <v>36</v>
      </c>
      <c r="C66" s="194" t="s">
        <v>37</v>
      </c>
      <c r="D66" s="13" t="s">
        <v>143</v>
      </c>
      <c r="E66" s="493">
        <v>43613</v>
      </c>
      <c r="F66" s="493">
        <v>45839</v>
      </c>
      <c r="G66" s="477">
        <f t="shared" si="4"/>
        <v>0.48755757277646111</v>
      </c>
      <c r="H66" s="493">
        <v>111134</v>
      </c>
      <c r="I66" s="493">
        <v>185311</v>
      </c>
      <c r="J66" s="476">
        <f t="shared" si="5"/>
        <v>0.37488910253166691</v>
      </c>
    </row>
    <row r="67" spans="2:10">
      <c r="B67" s="882"/>
      <c r="C67" s="194" t="s">
        <v>38</v>
      </c>
      <c r="D67" s="13" t="s">
        <v>146</v>
      </c>
      <c r="E67" s="493">
        <v>2217</v>
      </c>
      <c r="F67" s="493">
        <v>0</v>
      </c>
      <c r="G67" s="477">
        <f t="shared" si="4"/>
        <v>1</v>
      </c>
      <c r="H67" s="493">
        <v>4434</v>
      </c>
      <c r="I67" s="493">
        <v>0</v>
      </c>
      <c r="J67" s="476">
        <f t="shared" si="5"/>
        <v>1</v>
      </c>
    </row>
    <row r="68" spans="2:10">
      <c r="B68" s="883"/>
      <c r="C68" s="194" t="s">
        <v>39</v>
      </c>
      <c r="D68" s="13" t="s">
        <v>146</v>
      </c>
      <c r="E68" s="493">
        <v>0</v>
      </c>
      <c r="F68" s="493">
        <v>0</v>
      </c>
      <c r="G68" s="477" t="str">
        <f t="shared" si="4"/>
        <v>-</v>
      </c>
      <c r="H68" s="493">
        <v>0</v>
      </c>
      <c r="I68" s="493">
        <v>0</v>
      </c>
      <c r="J68" s="476" t="str">
        <f t="shared" si="5"/>
        <v>-</v>
      </c>
    </row>
    <row r="69" spans="2:10">
      <c r="B69" s="881" t="s">
        <v>40</v>
      </c>
      <c r="C69" s="194" t="s">
        <v>145</v>
      </c>
      <c r="D69" s="13" t="s">
        <v>143</v>
      </c>
      <c r="E69" s="493">
        <v>0</v>
      </c>
      <c r="F69" s="493">
        <v>0</v>
      </c>
      <c r="G69" s="477" t="str">
        <f t="shared" si="4"/>
        <v>-</v>
      </c>
      <c r="H69" s="493">
        <v>0</v>
      </c>
      <c r="I69" s="493">
        <v>0</v>
      </c>
      <c r="J69" s="476" t="str">
        <f t="shared" si="5"/>
        <v>-</v>
      </c>
    </row>
    <row r="70" spans="2:10">
      <c r="B70" s="882"/>
      <c r="C70" s="194" t="s">
        <v>35</v>
      </c>
      <c r="D70" s="13" t="s">
        <v>143</v>
      </c>
      <c r="E70" s="493">
        <v>0.77661044999999995</v>
      </c>
      <c r="F70" s="493">
        <v>619.15093492499977</v>
      </c>
      <c r="G70" s="477">
        <f t="shared" si="4"/>
        <v>1.2527438985312732E-3</v>
      </c>
      <c r="H70" s="493">
        <v>5081.3918402040026</v>
      </c>
      <c r="I70" s="493">
        <v>3440.3499861509999</v>
      </c>
      <c r="J70" s="476">
        <f t="shared" si="5"/>
        <v>0.59628558852708891</v>
      </c>
    </row>
    <row r="71" spans="2:10">
      <c r="B71" s="882"/>
      <c r="C71" s="194" t="s">
        <v>37</v>
      </c>
      <c r="D71" s="13" t="s">
        <v>143</v>
      </c>
      <c r="E71" s="493">
        <v>0</v>
      </c>
      <c r="F71" s="493">
        <v>0</v>
      </c>
      <c r="G71" s="477" t="str">
        <f t="shared" si="4"/>
        <v>-</v>
      </c>
      <c r="H71" s="493">
        <v>0</v>
      </c>
      <c r="I71" s="493">
        <v>0</v>
      </c>
      <c r="J71" s="476" t="str">
        <f t="shared" si="5"/>
        <v>-</v>
      </c>
    </row>
    <row r="72" spans="2:10">
      <c r="B72" s="883"/>
      <c r="C72" s="194" t="s">
        <v>39</v>
      </c>
      <c r="D72" s="13" t="s">
        <v>143</v>
      </c>
      <c r="E72" s="493">
        <v>0</v>
      </c>
      <c r="F72" s="493">
        <v>0</v>
      </c>
      <c r="G72" s="477" t="str">
        <f t="shared" si="4"/>
        <v>-</v>
      </c>
      <c r="H72" s="493">
        <v>0</v>
      </c>
      <c r="I72" s="493">
        <v>0</v>
      </c>
      <c r="J72" s="476" t="str">
        <f t="shared" si="5"/>
        <v>-</v>
      </c>
    </row>
    <row r="73" spans="2:10">
      <c r="B73" s="334"/>
      <c r="C73" s="886" t="s">
        <v>157</v>
      </c>
      <c r="D73" s="887"/>
      <c r="E73" s="333">
        <f>SUMIF($D$55:$D$72, "Core", E$55:E$72)</f>
        <v>82707.850692131993</v>
      </c>
      <c r="F73" s="333">
        <f>SUMIF($D$55:$D$72, "Core", F$55:F$72)</f>
        <v>134750.42857766012</v>
      </c>
      <c r="G73" s="478">
        <f>E73/(E73+F73)</f>
        <v>0.3803389365990501</v>
      </c>
      <c r="H73" s="333">
        <f>SUMIF($D$55:$D$72, "Core", H$55:H$72)</f>
        <v>238431.10918417154</v>
      </c>
      <c r="I73" s="333">
        <f>SUMIF($D$55:$D$72, "Core", I$55:I$72)</f>
        <v>574653.88991983596</v>
      </c>
      <c r="J73" s="478">
        <f>H73/(H73+I73)</f>
        <v>0.29324253853768628</v>
      </c>
    </row>
    <row r="74" spans="2:10">
      <c r="B74" s="334"/>
      <c r="C74" s="886" t="s">
        <v>158</v>
      </c>
      <c r="D74" s="887"/>
      <c r="E74" s="333">
        <f>SUMIF($D$55:$D$72, "Additional", E$55:E$72)</f>
        <v>4729.4942733490016</v>
      </c>
      <c r="F74" s="333">
        <f>SUMIF($D$55:$D$72, "Additional", F$55:F$72)</f>
        <v>7933.7577525889947</v>
      </c>
      <c r="G74" s="478">
        <f>E74/(E74+F74)</f>
        <v>0.37348180891145749</v>
      </c>
      <c r="H74" s="333">
        <f>SUMIF($D$55:$D$72, "Additional", H$55:H$72)</f>
        <v>16789.362399426012</v>
      </c>
      <c r="I74" s="333">
        <f>SUMIF($D$55:$D$72, "Additional", I$55:I$72)</f>
        <v>27251.49200932197</v>
      </c>
      <c r="J74" s="478">
        <f>H74/(H74+I74)</f>
        <v>0.38122244958288287</v>
      </c>
    </row>
    <row r="75" spans="2:10">
      <c r="B75" s="334"/>
      <c r="C75" s="886" t="s">
        <v>159</v>
      </c>
      <c r="D75" s="887"/>
      <c r="E75" s="333">
        <f>SUM(E55:E72)</f>
        <v>87437.344965480996</v>
      </c>
      <c r="F75" s="333">
        <f>SUM(F55:F72)</f>
        <v>142684.18633024913</v>
      </c>
      <c r="G75" s="478">
        <f>E75/(E75+F75)</f>
        <v>0.37996159886975073</v>
      </c>
      <c r="H75" s="333">
        <f>SUM(H55:H72)</f>
        <v>255220.47158359754</v>
      </c>
      <c r="I75" s="333">
        <f>SUM(I55:I72)</f>
        <v>601905.38192915788</v>
      </c>
      <c r="J75" s="478">
        <f>H75/(H75+I75)</f>
        <v>0.29776312374388025</v>
      </c>
    </row>
    <row r="76" spans="2:10" ht="56.25" customHeight="1">
      <c r="B76" s="888" t="s">
        <v>160</v>
      </c>
      <c r="C76" s="889"/>
      <c r="D76" s="889"/>
      <c r="E76" s="889"/>
      <c r="F76" s="889"/>
      <c r="G76" s="889"/>
      <c r="H76" s="889"/>
      <c r="I76" s="889"/>
      <c r="J76" s="889"/>
    </row>
  </sheetData>
  <mergeCells count="25">
    <mergeCell ref="B69:B72"/>
    <mergeCell ref="C73:D73"/>
    <mergeCell ref="C74:D74"/>
    <mergeCell ref="C75:D75"/>
    <mergeCell ref="B76:J76"/>
    <mergeCell ref="C53:D53"/>
    <mergeCell ref="B54:J54"/>
    <mergeCell ref="B55:B60"/>
    <mergeCell ref="B61:B63"/>
    <mergeCell ref="B66:B68"/>
    <mergeCell ref="B39:B41"/>
    <mergeCell ref="B44:B46"/>
    <mergeCell ref="B47:B50"/>
    <mergeCell ref="C51:D51"/>
    <mergeCell ref="C52:D52"/>
    <mergeCell ref="B33:B38"/>
    <mergeCell ref="B10:J10"/>
    <mergeCell ref="B32:J32"/>
    <mergeCell ref="B11:B16"/>
    <mergeCell ref="B17:B19"/>
    <mergeCell ref="B22:B24"/>
    <mergeCell ref="B25:B28"/>
    <mergeCell ref="C29:D29"/>
    <mergeCell ref="C30:D30"/>
    <mergeCell ref="C31:D31"/>
  </mergeCells>
  <pageMargins left="0.7" right="0.7" top="0.75" bottom="0.75" header="0.3" footer="0.3"/>
  <pageSetup orientation="portrait" r:id="rId1"/>
  <ignoredErrors>
    <ignoredError sqref="G31 G2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N14"/>
  <sheetViews>
    <sheetView showGridLines="0" zoomScaleNormal="100" workbookViewId="0">
      <selection activeCell="Q20" sqref="Q20"/>
    </sheetView>
  </sheetViews>
  <sheetFormatPr defaultRowHeight="14.5"/>
  <cols>
    <col min="1" max="1" width="4.81640625" customWidth="1"/>
    <col min="2" max="2" width="32.1796875" bestFit="1" customWidth="1"/>
    <col min="3" max="14" width="9.7265625" customWidth="1"/>
  </cols>
  <sheetData>
    <row r="1" spans="1:14">
      <c r="A1" s="243"/>
      <c r="B1" s="243"/>
      <c r="C1" s="243"/>
    </row>
    <row r="2" spans="1:14">
      <c r="A2" s="243"/>
      <c r="B2" t="s">
        <v>161</v>
      </c>
    </row>
    <row r="3" spans="1:14">
      <c r="A3" s="243"/>
      <c r="B3" s="890"/>
      <c r="C3" s="892" t="s">
        <v>162</v>
      </c>
      <c r="D3" s="892"/>
      <c r="E3" s="892"/>
      <c r="F3" s="892"/>
      <c r="G3" s="892"/>
      <c r="H3" s="892"/>
      <c r="I3" s="892" t="s">
        <v>163</v>
      </c>
      <c r="J3" s="892"/>
      <c r="K3" s="892"/>
      <c r="L3" s="892"/>
      <c r="M3" s="892"/>
      <c r="N3" s="892"/>
    </row>
    <row r="4" spans="1:14">
      <c r="A4" s="243"/>
      <c r="B4" s="891"/>
      <c r="C4" s="183" t="s">
        <v>164</v>
      </c>
      <c r="D4" s="182" t="s">
        <v>165</v>
      </c>
      <c r="E4" s="182" t="s">
        <v>166</v>
      </c>
      <c r="F4" s="181" t="s">
        <v>167</v>
      </c>
      <c r="G4" s="180" t="s">
        <v>168</v>
      </c>
      <c r="H4" s="180" t="s">
        <v>169</v>
      </c>
      <c r="I4" s="183" t="s">
        <v>164</v>
      </c>
      <c r="J4" s="182" t="s">
        <v>165</v>
      </c>
      <c r="K4" s="182" t="s">
        <v>166</v>
      </c>
      <c r="L4" s="181" t="s">
        <v>167</v>
      </c>
      <c r="M4" s="180" t="s">
        <v>168</v>
      </c>
      <c r="N4" s="180" t="s">
        <v>169</v>
      </c>
    </row>
    <row r="5" spans="1:14">
      <c r="B5" s="13" t="s">
        <v>170</v>
      </c>
      <c r="C5" s="387">
        <v>3.8</v>
      </c>
      <c r="D5" s="387">
        <v>5.5</v>
      </c>
      <c r="E5" s="387">
        <v>3.2</v>
      </c>
      <c r="F5" s="388">
        <v>1.5</v>
      </c>
      <c r="G5" s="388">
        <v>2.9</v>
      </c>
      <c r="H5" s="388">
        <v>7.4</v>
      </c>
      <c r="I5" s="390">
        <f>'AP H - CostTest'!$G$61</f>
        <v>2.840395910297401</v>
      </c>
      <c r="J5" s="390">
        <f>'AP H - CostTest'!$G$23</f>
        <v>10.811831671147944</v>
      </c>
      <c r="K5" s="390">
        <f>'AP H - CostTest'!$G$26</f>
        <v>1.2873457863487727</v>
      </c>
      <c r="L5" s="390">
        <f>'AP H - CostTest'!$G$31</f>
        <v>0.28273716523155029</v>
      </c>
      <c r="M5" s="390">
        <f>'AP H - CostTest'!$G$18</f>
        <v>1.0874326337324414</v>
      </c>
      <c r="N5" s="390">
        <f>'AP H - CostTest'!$G$43</f>
        <v>1.3585175637955225</v>
      </c>
    </row>
    <row r="6" spans="1:14">
      <c r="B6" s="13" t="s">
        <v>101</v>
      </c>
      <c r="C6" s="387">
        <v>5.2</v>
      </c>
      <c r="D6" s="387">
        <v>6.5</v>
      </c>
      <c r="E6" s="387">
        <v>4.8</v>
      </c>
      <c r="F6" s="388">
        <v>2</v>
      </c>
      <c r="G6" s="388">
        <v>3.9</v>
      </c>
      <c r="H6" s="388">
        <v>11</v>
      </c>
      <c r="I6" s="390">
        <f>'AP H - CostTest'!$D$61</f>
        <v>2.8042055529042962</v>
      </c>
      <c r="J6" s="390">
        <f>'AP H - CostTest'!$D$23</f>
        <v>4.981097217616842</v>
      </c>
      <c r="K6" s="390">
        <f>'AP H - CostTest'!$D$26</f>
        <v>1.685498161961162</v>
      </c>
      <c r="L6" s="390">
        <f>'AP H - CostTest'!$D$31</f>
        <v>0.33196203789825252</v>
      </c>
      <c r="M6" s="390">
        <f>'AP H - CostTest'!$D$18</f>
        <v>1.1677251184613593</v>
      </c>
      <c r="N6" s="390">
        <f>'AP H - CostTest'!$D$43</f>
        <v>1.4620006796590546</v>
      </c>
    </row>
    <row r="7" spans="1:14">
      <c r="B7" s="13" t="s">
        <v>20</v>
      </c>
      <c r="C7" s="387">
        <v>3.1</v>
      </c>
      <c r="D7" s="387">
        <v>5.5</v>
      </c>
      <c r="E7" s="387">
        <v>2.7</v>
      </c>
      <c r="F7" s="388">
        <v>1.1000000000000001</v>
      </c>
      <c r="G7" s="388">
        <v>2.4</v>
      </c>
      <c r="H7" s="388">
        <v>5.2</v>
      </c>
      <c r="I7" s="390">
        <f>'AP H - CostTest'!$C$61</f>
        <v>2.9754664708710004</v>
      </c>
      <c r="J7" s="390">
        <f>'AP H - CostTest'!$C$23</f>
        <v>22.079557773618564</v>
      </c>
      <c r="K7" s="390">
        <f>'AP H - CostTest'!$C$26</f>
        <v>0.96455938840417799</v>
      </c>
      <c r="L7" s="390">
        <f>'AP H - CostTest'!$C$31</f>
        <v>0.23087846316130792</v>
      </c>
      <c r="M7" s="390">
        <f>'AP H - CostTest'!$C$18</f>
        <v>1.0180950657029855</v>
      </c>
      <c r="N7" s="390">
        <f>'AP H - CostTest'!$C$43</f>
        <v>1.2545176925018953</v>
      </c>
    </row>
    <row r="8" spans="1:14">
      <c r="B8" s="13" t="s">
        <v>149</v>
      </c>
      <c r="C8" s="387">
        <v>2.6</v>
      </c>
      <c r="D8" s="387">
        <v>4.7</v>
      </c>
      <c r="E8" s="387">
        <v>1.7</v>
      </c>
      <c r="F8" s="388">
        <v>1</v>
      </c>
      <c r="G8" s="388">
        <v>1.9</v>
      </c>
      <c r="H8" s="388">
        <v>4.8</v>
      </c>
      <c r="I8" s="390">
        <f>'AP H - CostTest'!$I$61</f>
        <v>0.38632735574499244</v>
      </c>
      <c r="J8" s="390">
        <f>'AP H - CostTest'!$I$23</f>
        <v>23.937691215800342</v>
      </c>
      <c r="K8" s="390">
        <f>'AP H - CostTest'!$I$26</f>
        <v>0.152384520112719</v>
      </c>
      <c r="L8" s="390">
        <f>'AP H - CostTest'!$I$31</f>
        <v>0.11336696704112061</v>
      </c>
      <c r="M8" s="390">
        <f>'AP H - CostTest'!$I$18</f>
        <v>0.1674845154675543</v>
      </c>
      <c r="N8" s="390">
        <f>'AP H - CostTest'!$I$43</f>
        <v>0.20729958296376408</v>
      </c>
    </row>
    <row r="9" spans="1:14">
      <c r="B9" s="13" t="s">
        <v>21</v>
      </c>
      <c r="C9" s="387">
        <v>4.5999999999999996</v>
      </c>
      <c r="D9" s="387">
        <v>10.199999999999999</v>
      </c>
      <c r="E9" s="387">
        <v>3.7</v>
      </c>
      <c r="F9" s="388">
        <v>1.2</v>
      </c>
      <c r="G9" s="388">
        <v>3.5</v>
      </c>
      <c r="H9" s="388">
        <v>7.5</v>
      </c>
      <c r="I9" s="390">
        <f>'AP H - CostTest'!$H$61</f>
        <v>4.2441274288614217</v>
      </c>
      <c r="J9" s="390">
        <f>'AP H - CostTest'!$H$23</f>
        <v>25.880052087197093</v>
      </c>
      <c r="K9" s="390">
        <f>'AP H - CostTest'!$H$26</f>
        <v>1.2495496924881939</v>
      </c>
      <c r="L9" s="390">
        <f>'AP H - CostTest'!$H$31</f>
        <v>0.24262713453190596</v>
      </c>
      <c r="M9" s="390">
        <f>'AP H - CostTest'!$H$18</f>
        <v>1.424690951800625</v>
      </c>
      <c r="N9" s="390">
        <f>'AP H - CostTest'!$H$43</f>
        <v>1.7894719951444111</v>
      </c>
    </row>
    <row r="10" spans="1:14">
      <c r="B10" s="13" t="s">
        <v>36</v>
      </c>
      <c r="C10" s="389">
        <v>7.3907289515709147</v>
      </c>
      <c r="D10" s="389">
        <v>7.7471539987534408</v>
      </c>
      <c r="E10" s="389">
        <v>10.376766467040156</v>
      </c>
      <c r="F10" s="389">
        <v>2.7950720036997025</v>
      </c>
      <c r="G10" s="389">
        <v>5.6959702145611315</v>
      </c>
      <c r="H10" s="389">
        <v>16.28771657135146</v>
      </c>
      <c r="I10" s="390">
        <f>'AP H - CostTest'!$J$61</f>
        <v>3.1976270638374418</v>
      </c>
      <c r="J10" s="390">
        <f>'AP H - CostTest'!$J$23</f>
        <v>4.8948971109618284</v>
      </c>
      <c r="K10" s="390">
        <f>'AP H - CostTest'!$J$26</f>
        <v>2.1229927916074387</v>
      </c>
      <c r="L10" s="390">
        <f>'AP H - CostTest'!$J$31</f>
        <v>0.3456120626586246</v>
      </c>
      <c r="M10" s="390">
        <f>'AP H - CostTest'!$J$18</f>
        <v>1.330477803765703</v>
      </c>
      <c r="N10" s="390">
        <f>'AP H - CostTest'!$J$43</f>
        <v>1.6661575316507233</v>
      </c>
    </row>
    <row r="11" spans="1:14">
      <c r="B11" s="13" t="s">
        <v>28</v>
      </c>
      <c r="C11" s="389">
        <v>1.6166741131827793</v>
      </c>
      <c r="D11" s="389">
        <v>2.7428497342627178</v>
      </c>
      <c r="E11" s="389">
        <v>1.2834301585087025</v>
      </c>
      <c r="F11" s="389">
        <v>0.76940907816116932</v>
      </c>
      <c r="G11" s="389">
        <v>1.1606292552553075</v>
      </c>
      <c r="H11" s="389">
        <v>2.7258823624604727</v>
      </c>
      <c r="I11" s="390">
        <f>'AP H - CostTest'!$K$61</f>
        <v>0.82184376441900653</v>
      </c>
      <c r="J11" s="390">
        <f>'AP H - CostTest'!$K$23</f>
        <v>4.991053401419415</v>
      </c>
      <c r="K11" s="390">
        <f>'AP H - CostTest'!$K$26</f>
        <v>0.29679777612438468</v>
      </c>
      <c r="L11" s="390">
        <f>'AP H - CostTest'!$K$31</f>
        <v>0.14520496531222146</v>
      </c>
      <c r="M11" s="390">
        <f>'AP H - CostTest'!$K$18</f>
        <v>0.27426469243271862</v>
      </c>
      <c r="N11" s="390">
        <f>'AP H - CostTest'!$K$43</f>
        <v>0.32706465501530185</v>
      </c>
    </row>
    <row r="12" spans="1:14">
      <c r="B12" s="13" t="s">
        <v>171</v>
      </c>
      <c r="C12" s="389">
        <v>2.9</v>
      </c>
      <c r="D12" s="389">
        <v>4.8</v>
      </c>
      <c r="E12" s="389">
        <v>2.6</v>
      </c>
      <c r="F12" s="389">
        <v>1.1000000000000001</v>
      </c>
      <c r="G12" s="389">
        <v>2.6</v>
      </c>
      <c r="H12" s="389">
        <v>3.9</v>
      </c>
      <c r="I12" s="390">
        <f>'AP H - CostTest'!$L$61</f>
        <v>3.9176506373629083</v>
      </c>
      <c r="J12" s="390">
        <f>'AP H - CostTest'!$L$23</f>
        <v>0</v>
      </c>
      <c r="K12" s="390">
        <f>'AP H - CostTest'!$L$26</f>
        <v>1.8363134418212921</v>
      </c>
      <c r="L12" s="390">
        <f>'AP H - CostTest'!$L$31</f>
        <v>0.31299824688480876</v>
      </c>
      <c r="M12" s="390">
        <f>'AP H - CostTest'!$L$18</f>
        <v>1.8363134418212921</v>
      </c>
      <c r="N12" s="390">
        <f>'AP H - CostTest'!$L$43</f>
        <v>1.8380274924438738</v>
      </c>
    </row>
    <row r="13" spans="1:14">
      <c r="B13" s="13" t="s">
        <v>40</v>
      </c>
      <c r="C13" s="389">
        <v>4.2</v>
      </c>
      <c r="D13" s="389">
        <v>6</v>
      </c>
      <c r="E13" s="389">
        <v>3.1</v>
      </c>
      <c r="F13" s="389">
        <v>1.2</v>
      </c>
      <c r="G13" s="389">
        <v>3.1</v>
      </c>
      <c r="H13" s="389">
        <v>6.9</v>
      </c>
      <c r="I13" s="390">
        <f>'AP H - CostTest'!$M$61</f>
        <v>1.9367665302515993</v>
      </c>
      <c r="J13" s="390">
        <f>'AP H - CostTest'!$M$23</f>
        <v>0</v>
      </c>
      <c r="K13" s="390">
        <f>'AP H - CostTest'!$M$26</f>
        <v>0.53881212036746051</v>
      </c>
      <c r="L13" s="390">
        <f>'AP H - CostTest'!$M$31</f>
        <v>0.18038932965923407</v>
      </c>
      <c r="M13" s="390">
        <f>'AP H - CostTest'!$M$18</f>
        <v>0.53881212036746051</v>
      </c>
      <c r="N13" s="390">
        <f>'AP H - CostTest'!$M$43</f>
        <v>0.81369036758414681</v>
      </c>
    </row>
    <row r="14" spans="1:14">
      <c r="I14" s="838"/>
      <c r="J14" s="838"/>
      <c r="K14" s="838"/>
      <c r="L14" s="838"/>
      <c r="M14" s="838"/>
      <c r="N14" s="838"/>
    </row>
  </sheetData>
  <mergeCells count="3">
    <mergeCell ref="B3:B4"/>
    <mergeCell ref="C3:H3"/>
    <mergeCell ref="I3:N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H7"/>
  <sheetViews>
    <sheetView showGridLines="0" zoomScale="120" zoomScaleNormal="120" workbookViewId="0">
      <selection activeCell="H8" sqref="H8"/>
    </sheetView>
  </sheetViews>
  <sheetFormatPr defaultRowHeight="14.5"/>
  <cols>
    <col min="1" max="3" width="20.1796875" customWidth="1"/>
    <col min="4" max="4" width="19.26953125" bestFit="1" customWidth="1"/>
    <col min="5" max="5" width="19.81640625" bestFit="1" customWidth="1"/>
    <col min="6" max="6" width="21.26953125" customWidth="1"/>
    <col min="7" max="9" width="20.1796875" customWidth="1"/>
  </cols>
  <sheetData>
    <row r="1" spans="1:8">
      <c r="A1" t="s">
        <v>172</v>
      </c>
    </row>
    <row r="2" spans="1:8">
      <c r="B2" s="581"/>
    </row>
    <row r="3" spans="1:8">
      <c r="B3" s="893" t="s">
        <v>173</v>
      </c>
      <c r="C3" s="893"/>
      <c r="D3" s="893" t="s">
        <v>174</v>
      </c>
      <c r="E3" s="893"/>
      <c r="F3" s="893"/>
      <c r="G3" s="894" t="s">
        <v>175</v>
      </c>
      <c r="H3" s="895"/>
    </row>
    <row r="4" spans="1:8" ht="29">
      <c r="A4" s="582" t="s">
        <v>6</v>
      </c>
      <c r="B4" s="583" t="s">
        <v>176</v>
      </c>
      <c r="C4" s="583" t="s">
        <v>177</v>
      </c>
      <c r="D4" s="584" t="s">
        <v>178</v>
      </c>
      <c r="E4" s="584" t="s">
        <v>179</v>
      </c>
      <c r="F4" s="584" t="s">
        <v>180</v>
      </c>
      <c r="G4" s="584" t="s">
        <v>181</v>
      </c>
      <c r="H4" s="584" t="s">
        <v>182</v>
      </c>
    </row>
    <row r="5" spans="1:8">
      <c r="A5" s="585" t="s">
        <v>19</v>
      </c>
      <c r="B5" s="592">
        <f>SUM(' Ap C - Qtr Electric LMI'!$F$12:$G$12)+475.9525</f>
        <v>1417.7404999999999</v>
      </c>
      <c r="C5" s="592">
        <f>SUM(' Ap C - Qtr Electric LMI'!$F$12:$G$12)+475.9525</f>
        <v>1417.7404999999999</v>
      </c>
      <c r="D5" s="587">
        <f>'Ap B - Qtr Electric Master'!Q16+2.918</f>
        <v>3.059091</v>
      </c>
      <c r="E5" s="586">
        <f>'Ap B - Qtr Electric Master'!N16+6280</f>
        <v>8315.248599999999</v>
      </c>
      <c r="F5" s="586">
        <f>'Ap B - Qtr Electric Master'!S16+6280</f>
        <v>33614.491000000002</v>
      </c>
      <c r="G5" s="586">
        <f>37965.295030772/10</f>
        <v>3796.5295030772004</v>
      </c>
      <c r="H5" s="586">
        <f>353721.326613492/10</f>
        <v>35372.132661349198</v>
      </c>
    </row>
    <row r="7" spans="1:8">
      <c r="A7" s="9"/>
    </row>
  </sheetData>
  <mergeCells count="3">
    <mergeCell ref="B3:C3"/>
    <mergeCell ref="D3:F3"/>
    <mergeCell ref="G3:H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showGridLines="0" workbookViewId="0">
      <selection activeCell="J19" sqref="J19"/>
    </sheetView>
  </sheetViews>
  <sheetFormatPr defaultRowHeight="14.5"/>
  <sheetData>
    <row r="2" spans="2:2">
      <c r="B2" s="254" t="s">
        <v>183</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K73"/>
  <sheetViews>
    <sheetView showGridLines="0" zoomScale="80" zoomScaleNormal="80" zoomScaleSheetLayoutView="100" workbookViewId="0">
      <pane xSplit="3" ySplit="7" topLeftCell="D8" activePane="bottomRight" state="frozen"/>
      <selection pane="topRight" activeCell="D1" sqref="D1"/>
      <selection pane="bottomLeft" activeCell="A8" sqref="A8"/>
      <selection pane="bottomRight" activeCell="J39" sqref="J39"/>
    </sheetView>
  </sheetViews>
  <sheetFormatPr defaultColWidth="9.26953125" defaultRowHeight="14.5"/>
  <cols>
    <col min="1" max="1" width="6.453125" customWidth="1"/>
    <col min="2" max="2" width="20.81640625" customWidth="1"/>
    <col min="3" max="3" width="31.54296875" bestFit="1" customWidth="1"/>
    <col min="4" max="4" width="10.54296875" customWidth="1"/>
    <col min="5" max="5" width="13" customWidth="1"/>
    <col min="6" max="6" width="12.1796875" customWidth="1"/>
    <col min="7" max="7" width="11.7265625" customWidth="1"/>
    <col min="8" max="8" width="12.453125" customWidth="1"/>
    <col min="9" max="9" width="15.1796875" customWidth="1"/>
    <col min="10" max="10" width="12.1796875" customWidth="1"/>
    <col min="11" max="11" width="11.54296875" customWidth="1"/>
    <col min="12" max="12" width="13.81640625" customWidth="1"/>
    <col min="13" max="13" width="15" customWidth="1"/>
    <col min="14" max="14" width="14.1796875" style="2" customWidth="1"/>
    <col min="15" max="15" width="14" style="2" customWidth="1"/>
    <col min="16" max="16" width="14.81640625" style="2" customWidth="1"/>
    <col min="17" max="17" width="15.1796875" style="3" customWidth="1"/>
    <col min="18" max="18" width="13" customWidth="1"/>
    <col min="19" max="19" width="13.453125" style="2" customWidth="1"/>
    <col min="20" max="20" width="14.81640625" customWidth="1"/>
    <col min="21" max="21" width="16.7265625" customWidth="1"/>
    <col min="22" max="22" width="15.453125" customWidth="1"/>
    <col min="23" max="23" width="28.1796875" bestFit="1" customWidth="1"/>
    <col min="24" max="24" width="0" hidden="1" customWidth="1"/>
    <col min="25" max="25" width="14.26953125" hidden="1" customWidth="1"/>
    <col min="26" max="26" width="50.7265625" hidden="1" customWidth="1"/>
    <col min="27" max="30" width="14.26953125" hidden="1" customWidth="1"/>
    <col min="31" max="31" width="13.7265625" hidden="1" customWidth="1"/>
    <col min="32" max="32" width="12" hidden="1" customWidth="1"/>
  </cols>
  <sheetData>
    <row r="1" spans="1:33" ht="23.5">
      <c r="A1" s="1" t="s">
        <v>184</v>
      </c>
      <c r="D1" s="676"/>
      <c r="E1" s="676"/>
      <c r="F1" s="676"/>
      <c r="G1" s="441"/>
      <c r="N1" s="557"/>
      <c r="O1" s="557"/>
      <c r="P1" s="557"/>
      <c r="S1" s="33"/>
    </row>
    <row r="2" spans="1:33" ht="18.5">
      <c r="D2" s="676"/>
      <c r="E2" s="676"/>
      <c r="F2" s="676"/>
      <c r="G2" s="676"/>
      <c r="H2" s="5"/>
      <c r="I2" s="245"/>
      <c r="J2" s="377"/>
      <c r="N2" s="557"/>
      <c r="O2" s="557"/>
      <c r="P2" s="557"/>
      <c r="S2" s="33"/>
    </row>
    <row r="3" spans="1:33" ht="19" thickBot="1">
      <c r="A3" s="5"/>
      <c r="B3" s="5" t="s">
        <v>185</v>
      </c>
      <c r="C3" s="5"/>
      <c r="F3" s="245"/>
      <c r="I3" s="5"/>
      <c r="J3" s="5"/>
      <c r="K3" s="5"/>
      <c r="L3" s="5"/>
      <c r="M3" s="5"/>
      <c r="Q3" s="9"/>
      <c r="S3" s="33"/>
    </row>
    <row r="4" spans="1:33" ht="15" thickBot="1">
      <c r="A4" t="s">
        <v>148</v>
      </c>
      <c r="B4" s="56"/>
      <c r="C4" s="591"/>
      <c r="D4" s="908" t="s">
        <v>186</v>
      </c>
      <c r="E4" s="909"/>
      <c r="F4" s="909"/>
      <c r="G4" s="910"/>
      <c r="H4" s="911" t="s">
        <v>187</v>
      </c>
      <c r="I4" s="912"/>
      <c r="J4" s="912"/>
      <c r="K4" s="912"/>
      <c r="L4" s="905" t="s">
        <v>188</v>
      </c>
      <c r="M4" s="906"/>
      <c r="N4" s="906"/>
      <c r="O4" s="906"/>
      <c r="P4" s="906"/>
      <c r="Q4" s="906"/>
      <c r="R4" s="906"/>
      <c r="S4" s="907"/>
      <c r="T4" s="903" t="s">
        <v>189</v>
      </c>
      <c r="U4" s="903"/>
      <c r="V4" s="904"/>
    </row>
    <row r="5" spans="1:33">
      <c r="B5" s="71"/>
      <c r="C5" s="233"/>
      <c r="D5" s="481" t="s">
        <v>190</v>
      </c>
      <c r="E5" s="14" t="s">
        <v>191</v>
      </c>
      <c r="F5" s="14" t="s">
        <v>192</v>
      </c>
      <c r="G5" s="235" t="s">
        <v>193</v>
      </c>
      <c r="H5" s="24" t="s">
        <v>194</v>
      </c>
      <c r="I5" s="25" t="s">
        <v>195</v>
      </c>
      <c r="J5" s="25" t="s">
        <v>196</v>
      </c>
      <c r="K5" s="208" t="s">
        <v>197</v>
      </c>
      <c r="L5" s="6" t="s">
        <v>198</v>
      </c>
      <c r="M5" s="21" t="s">
        <v>199</v>
      </c>
      <c r="N5" s="6" t="s">
        <v>200</v>
      </c>
      <c r="O5" s="21" t="s">
        <v>201</v>
      </c>
      <c r="P5" s="21" t="s">
        <v>202</v>
      </c>
      <c r="Q5" s="14" t="s">
        <v>203</v>
      </c>
      <c r="R5" s="43" t="s">
        <v>204</v>
      </c>
      <c r="S5" s="211" t="s">
        <v>205</v>
      </c>
      <c r="T5" s="471" t="s">
        <v>206</v>
      </c>
      <c r="U5" s="471" t="s">
        <v>207</v>
      </c>
      <c r="V5" s="472" t="s">
        <v>208</v>
      </c>
      <c r="W5" s="138"/>
      <c r="X5" s="138"/>
      <c r="Y5" s="138"/>
      <c r="Z5" s="138"/>
    </row>
    <row r="6" spans="1:33" ht="55.5" customHeight="1" thickBot="1">
      <c r="B6" s="72"/>
      <c r="C6" s="234"/>
      <c r="D6" s="482" t="s">
        <v>59</v>
      </c>
      <c r="E6" s="483" t="s">
        <v>209</v>
      </c>
      <c r="F6" s="483" t="s">
        <v>10</v>
      </c>
      <c r="G6" s="484" t="s">
        <v>210</v>
      </c>
      <c r="H6" s="26" t="s">
        <v>211</v>
      </c>
      <c r="I6" s="654" t="s">
        <v>212</v>
      </c>
      <c r="J6" s="27" t="s">
        <v>213</v>
      </c>
      <c r="K6" s="209" t="s">
        <v>214</v>
      </c>
      <c r="L6" s="212" t="s">
        <v>215</v>
      </c>
      <c r="M6" s="22" t="s">
        <v>216</v>
      </c>
      <c r="N6" s="12" t="s">
        <v>217</v>
      </c>
      <c r="O6" s="23" t="s">
        <v>218</v>
      </c>
      <c r="P6" s="23" t="s">
        <v>219</v>
      </c>
      <c r="Q6" s="7" t="s">
        <v>220</v>
      </c>
      <c r="R6" s="23" t="s">
        <v>221</v>
      </c>
      <c r="S6" s="213" t="s">
        <v>222</v>
      </c>
      <c r="T6" s="7" t="s">
        <v>223</v>
      </c>
      <c r="U6" s="7" t="s">
        <v>224</v>
      </c>
      <c r="V6" s="7" t="s">
        <v>225</v>
      </c>
      <c r="X6" s="442"/>
      <c r="Y6" s="442"/>
      <c r="Z6" s="442"/>
      <c r="AA6" s="443"/>
      <c r="AB6" s="443"/>
      <c r="AC6" s="443"/>
      <c r="AD6" s="443"/>
      <c r="AE6" s="443"/>
      <c r="AF6" s="443"/>
    </row>
    <row r="7" spans="1:33" ht="15.75" customHeight="1" thickBot="1">
      <c r="B7" s="48" t="s">
        <v>226</v>
      </c>
      <c r="C7" s="114" t="s">
        <v>227</v>
      </c>
      <c r="D7" s="314"/>
      <c r="E7" s="81"/>
      <c r="F7" s="140"/>
      <c r="G7" s="89"/>
      <c r="H7" s="678"/>
      <c r="I7" s="312"/>
      <c r="J7" s="679"/>
      <c r="K7" s="680"/>
      <c r="L7" s="109"/>
      <c r="M7" s="81"/>
      <c r="N7" s="110"/>
      <c r="O7" s="90"/>
      <c r="P7" s="110"/>
      <c r="Q7" s="110"/>
      <c r="R7" s="139"/>
      <c r="S7" s="214"/>
      <c r="T7" s="488"/>
      <c r="U7" s="489"/>
      <c r="V7" s="490"/>
      <c r="X7" s="351"/>
      <c r="Y7" s="351"/>
      <c r="Z7" s="351"/>
      <c r="AA7" s="352"/>
      <c r="AB7" s="352"/>
      <c r="AC7" s="352"/>
      <c r="AD7" s="444"/>
      <c r="AE7" s="444"/>
      <c r="AF7" s="444"/>
      <c r="AG7" s="570" t="s">
        <v>148</v>
      </c>
    </row>
    <row r="8" spans="1:33" ht="15.75" customHeight="1">
      <c r="B8" s="900" t="s">
        <v>228</v>
      </c>
      <c r="C8" s="77" t="s">
        <v>22</v>
      </c>
      <c r="D8" s="500">
        <v>545</v>
      </c>
      <c r="E8" s="804" t="s">
        <v>109</v>
      </c>
      <c r="F8" s="808">
        <v>1635</v>
      </c>
      <c r="G8" s="169" t="s">
        <v>109</v>
      </c>
      <c r="H8" s="656">
        <f>945.25575+1.96</f>
        <v>947.21575000000007</v>
      </c>
      <c r="I8" s="665" t="s">
        <v>229</v>
      </c>
      <c r="J8" s="657">
        <f>1262+H8</f>
        <v>2209.2157500000003</v>
      </c>
      <c r="K8" s="677" t="s">
        <v>109</v>
      </c>
      <c r="L8" s="500">
        <v>242.92011959999999</v>
      </c>
      <c r="M8" s="810" t="s">
        <v>229</v>
      </c>
      <c r="N8" s="168">
        <v>778.22423570000001</v>
      </c>
      <c r="O8" s="485" t="s">
        <v>229</v>
      </c>
      <c r="P8" s="168">
        <f>L8*$AD$8</f>
        <v>270.855933354</v>
      </c>
      <c r="Q8" s="813">
        <v>0.32473688499999998</v>
      </c>
      <c r="R8" s="804">
        <v>3838.0068348</v>
      </c>
      <c r="S8" s="817">
        <v>12310.982684899998</v>
      </c>
      <c r="T8" s="813">
        <v>0.104400283</v>
      </c>
      <c r="U8" s="804">
        <f t="shared" ref="U8:U12" si="0">R8*$AD$8</f>
        <v>4279.3776208019999</v>
      </c>
      <c r="V8" s="821">
        <f>T8*$AE$8</f>
        <v>0.11838992092199999</v>
      </c>
      <c r="W8" s="138"/>
      <c r="X8" s="351"/>
      <c r="Y8" s="351"/>
      <c r="Z8" s="351"/>
      <c r="AA8" s="352"/>
      <c r="AB8" s="352"/>
      <c r="AC8" s="352"/>
      <c r="AD8" s="444"/>
      <c r="AE8" s="444"/>
      <c r="AF8" s="444"/>
    </row>
    <row r="9" spans="1:33">
      <c r="B9" s="901"/>
      <c r="C9" s="137" t="s">
        <v>23</v>
      </c>
      <c r="D9" s="501">
        <v>795</v>
      </c>
      <c r="E9" s="805" t="s">
        <v>109</v>
      </c>
      <c r="F9" s="127">
        <v>3370</v>
      </c>
      <c r="G9" s="170" t="s">
        <v>109</v>
      </c>
      <c r="H9" s="658">
        <f>330.74076+1.71</f>
        <v>332.45076</v>
      </c>
      <c r="I9" s="659" t="s">
        <v>229</v>
      </c>
      <c r="J9" s="660">
        <f>1335+H9</f>
        <v>1667.4507599999999</v>
      </c>
      <c r="K9" s="171" t="s">
        <v>109</v>
      </c>
      <c r="L9" s="501">
        <v>75.752700000000004</v>
      </c>
      <c r="M9" s="811" t="s">
        <v>229</v>
      </c>
      <c r="N9" s="127">
        <v>397.4117</v>
      </c>
      <c r="O9" s="172" t="s">
        <v>229</v>
      </c>
      <c r="P9" s="119">
        <f t="shared" ref="P9:P13" si="1">L9*$AD$8</f>
        <v>84.464260500000009</v>
      </c>
      <c r="Q9" s="814">
        <v>4.6920999999999997E-2</v>
      </c>
      <c r="R9" s="805">
        <v>895.80809999999997</v>
      </c>
      <c r="S9" s="818">
        <v>4463.6868000000004</v>
      </c>
      <c r="T9" s="814">
        <v>8.5749999999999993E-3</v>
      </c>
      <c r="U9" s="805">
        <f t="shared" si="0"/>
        <v>998.8260315</v>
      </c>
      <c r="V9" s="822">
        <f t="shared" ref="V9:V13" si="2">T9*$AE$8</f>
        <v>9.724049999999998E-3</v>
      </c>
      <c r="X9" s="351"/>
      <c r="Y9" s="351"/>
      <c r="Z9" s="351"/>
      <c r="AA9" s="352"/>
      <c r="AB9" s="352"/>
      <c r="AC9" s="352"/>
      <c r="AD9" s="444"/>
      <c r="AE9" s="444"/>
      <c r="AF9" s="444"/>
    </row>
    <row r="10" spans="1:33">
      <c r="B10" s="901"/>
      <c r="C10" s="137" t="s">
        <v>24</v>
      </c>
      <c r="D10" s="501">
        <v>412</v>
      </c>
      <c r="E10" s="805" t="s">
        <v>109</v>
      </c>
      <c r="F10" s="127">
        <v>1815</v>
      </c>
      <c r="G10" s="170" t="s">
        <v>109</v>
      </c>
      <c r="H10" s="661">
        <f>189.67631+1.7</f>
        <v>191.37630999999999</v>
      </c>
      <c r="I10" s="662" t="s">
        <v>229</v>
      </c>
      <c r="J10" s="663">
        <f>575+H10</f>
        <v>766.37630999999999</v>
      </c>
      <c r="K10" s="172" t="s">
        <v>109</v>
      </c>
      <c r="L10" s="501">
        <v>460.517</v>
      </c>
      <c r="M10" s="811" t="s">
        <v>229</v>
      </c>
      <c r="N10" s="127">
        <v>2010.6659999999999</v>
      </c>
      <c r="O10" s="172" t="s">
        <v>229</v>
      </c>
      <c r="P10" s="119">
        <f t="shared" si="1"/>
        <v>513.47645499999999</v>
      </c>
      <c r="Q10" s="814">
        <v>0.32160499999999997</v>
      </c>
      <c r="R10" s="805">
        <v>2253.9769999999999</v>
      </c>
      <c r="S10" s="818">
        <v>9782.9770000000008</v>
      </c>
      <c r="T10" s="814">
        <v>7.2987999999999997E-2</v>
      </c>
      <c r="U10" s="805">
        <f t="shared" si="0"/>
        <v>2513.1843549999999</v>
      </c>
      <c r="V10" s="822">
        <f t="shared" si="2"/>
        <v>8.2768391999999996E-2</v>
      </c>
      <c r="X10" s="351"/>
      <c r="Y10" s="351"/>
      <c r="Z10" s="351"/>
      <c r="AA10" s="352"/>
      <c r="AB10" s="352"/>
      <c r="AC10" s="352"/>
      <c r="AD10" s="444"/>
      <c r="AE10" s="444"/>
      <c r="AF10" s="444"/>
    </row>
    <row r="11" spans="1:33">
      <c r="B11" s="901"/>
      <c r="C11" s="137" t="s">
        <v>25</v>
      </c>
      <c r="D11" s="501">
        <v>1831</v>
      </c>
      <c r="E11" s="805" t="s">
        <v>109</v>
      </c>
      <c r="F11" s="127">
        <v>3757</v>
      </c>
      <c r="G11" s="170" t="s">
        <v>109</v>
      </c>
      <c r="H11" s="661">
        <v>199.23813000000004</v>
      </c>
      <c r="I11" s="662" t="s">
        <v>229</v>
      </c>
      <c r="J11" s="663">
        <f>250.27+H11</f>
        <v>449.50813000000005</v>
      </c>
      <c r="K11" s="172" t="s">
        <v>109</v>
      </c>
      <c r="L11" s="501">
        <v>276.93521935499768</v>
      </c>
      <c r="M11" s="811" t="s">
        <v>109</v>
      </c>
      <c r="N11" s="127">
        <v>553.78832888349666</v>
      </c>
      <c r="O11" s="172" t="s">
        <v>229</v>
      </c>
      <c r="P11" s="119">
        <f t="shared" si="1"/>
        <v>308.78276958082239</v>
      </c>
      <c r="Q11" s="815">
        <v>6.9051219999999996E-3</v>
      </c>
      <c r="R11" s="805">
        <v>2160.5063903250057</v>
      </c>
      <c r="S11" s="818">
        <v>4582.2329082525011</v>
      </c>
      <c r="T11" s="815">
        <v>1.937123E-3</v>
      </c>
      <c r="U11" s="805">
        <f t="shared" si="0"/>
        <v>2408.9646252123812</v>
      </c>
      <c r="V11" s="822">
        <f t="shared" si="2"/>
        <v>2.1966974819999999E-3</v>
      </c>
      <c r="W11" s="138"/>
      <c r="X11" s="351"/>
      <c r="Y11" s="351"/>
      <c r="Z11" s="351"/>
      <c r="AA11" s="352"/>
      <c r="AB11" s="352"/>
      <c r="AC11" s="352"/>
      <c r="AD11" s="444"/>
      <c r="AE11" s="444"/>
      <c r="AF11" s="444"/>
    </row>
    <row r="12" spans="1:33">
      <c r="B12" s="901"/>
      <c r="C12" s="79" t="s">
        <v>26</v>
      </c>
      <c r="D12" s="501">
        <v>9714</v>
      </c>
      <c r="E12" s="806" t="s">
        <v>109</v>
      </c>
      <c r="F12" s="127">
        <v>26502</v>
      </c>
      <c r="G12" s="170" t="s">
        <v>109</v>
      </c>
      <c r="H12" s="661">
        <v>0</v>
      </c>
      <c r="I12" s="662" t="s">
        <v>229</v>
      </c>
      <c r="J12" s="663">
        <v>0</v>
      </c>
      <c r="K12" s="172" t="s">
        <v>109</v>
      </c>
      <c r="L12" s="501">
        <v>2627.1431173999999</v>
      </c>
      <c r="M12" s="811" t="s">
        <v>229</v>
      </c>
      <c r="N12" s="127">
        <v>7199.8902173000006</v>
      </c>
      <c r="O12" s="172" t="s">
        <v>229</v>
      </c>
      <c r="P12" s="119">
        <f t="shared" si="1"/>
        <v>2929.2645759009997</v>
      </c>
      <c r="Q12" s="814">
        <v>0.655449116</v>
      </c>
      <c r="R12" s="805">
        <v>32416.953761000001</v>
      </c>
      <c r="S12" s="818">
        <v>88927.514059499998</v>
      </c>
      <c r="T12" s="814">
        <v>0.24059669</v>
      </c>
      <c r="U12" s="805">
        <f t="shared" si="0"/>
        <v>36144.903443515002</v>
      </c>
      <c r="V12" s="822">
        <f t="shared" si="2"/>
        <v>0.27283664646</v>
      </c>
      <c r="X12" s="351"/>
      <c r="Y12" s="351"/>
      <c r="Z12" s="351"/>
      <c r="AA12" s="352"/>
      <c r="AB12" s="352"/>
      <c r="AC12" s="352"/>
      <c r="AD12" s="444"/>
      <c r="AE12" s="444"/>
      <c r="AF12" s="444"/>
    </row>
    <row r="13" spans="1:33" ht="15" thickBot="1">
      <c r="B13" s="901"/>
      <c r="C13" s="313" t="s">
        <v>27</v>
      </c>
      <c r="D13" s="502">
        <v>32679</v>
      </c>
      <c r="E13" s="807" t="s">
        <v>109</v>
      </c>
      <c r="F13" s="809">
        <v>165239</v>
      </c>
      <c r="G13" s="173" t="s">
        <v>109</v>
      </c>
      <c r="H13" s="664">
        <f>198.55442+1.71</f>
        <v>200.26442</v>
      </c>
      <c r="I13" s="665" t="s">
        <v>229</v>
      </c>
      <c r="J13" s="657">
        <f>697+H13</f>
        <v>897.26441999999997</v>
      </c>
      <c r="K13" s="174" t="s">
        <v>109</v>
      </c>
      <c r="L13" s="502">
        <v>5312.2106000000003</v>
      </c>
      <c r="M13" s="812" t="s">
        <v>229</v>
      </c>
      <c r="N13" s="809">
        <v>25374.545900000001</v>
      </c>
      <c r="O13" s="486" t="s">
        <v>229</v>
      </c>
      <c r="P13" s="120">
        <f t="shared" si="1"/>
        <v>5923.1148190000004</v>
      </c>
      <c r="Q13" s="816">
        <v>1.9019870000000001</v>
      </c>
      <c r="R13" s="820">
        <v>79683.159100000004</v>
      </c>
      <c r="S13" s="819">
        <v>380618.18900000001</v>
      </c>
      <c r="T13" s="816">
        <v>0.39818500000000001</v>
      </c>
      <c r="U13" s="820">
        <f>R13*$AD$8</f>
        <v>88846.722396500001</v>
      </c>
      <c r="V13" s="823">
        <f t="shared" si="2"/>
        <v>0.45154179</v>
      </c>
      <c r="X13" s="351"/>
      <c r="Y13" s="351"/>
      <c r="Z13" s="351"/>
      <c r="AA13" s="352"/>
      <c r="AB13" s="352"/>
      <c r="AC13" s="352"/>
      <c r="AD13" s="444"/>
      <c r="AE13" s="444"/>
      <c r="AF13" s="444"/>
    </row>
    <row r="14" spans="1:33" ht="15" thickBot="1">
      <c r="B14" s="902"/>
      <c r="C14" s="473" t="s">
        <v>230</v>
      </c>
      <c r="D14" s="681">
        <f>SUM(D8:D13)</f>
        <v>45976</v>
      </c>
      <c r="E14" s="682">
        <v>81204</v>
      </c>
      <c r="F14" s="682">
        <f>SUM(F8:F13)</f>
        <v>202318</v>
      </c>
      <c r="G14" s="683">
        <f>F14/E14</f>
        <v>2.491478252302842</v>
      </c>
      <c r="H14" s="684">
        <f>SUM(H8:H13)</f>
        <v>1870.54537</v>
      </c>
      <c r="I14" s="685">
        <v>5012.5690000000004</v>
      </c>
      <c r="J14" s="685">
        <f>SUM(J8:J13)</f>
        <v>5989.8153700000003</v>
      </c>
      <c r="K14" s="686">
        <f>J14/I14</f>
        <v>1.1949591855992405</v>
      </c>
      <c r="L14" s="681">
        <f>SUM(L8:L13)</f>
        <v>8995.478756354998</v>
      </c>
      <c r="M14" s="682">
        <v>11595.373</v>
      </c>
      <c r="N14" s="682">
        <f>SUM(N8:N13)</f>
        <v>36314.526381883494</v>
      </c>
      <c r="O14" s="440">
        <f>N14/M14</f>
        <v>3.1318118340723919</v>
      </c>
      <c r="P14" s="682">
        <f>L14*1.115</f>
        <v>10029.958813335823</v>
      </c>
      <c r="Q14" s="687">
        <f>SUM(Q8:Q13)</f>
        <v>3.2576041230000001</v>
      </c>
      <c r="R14" s="688">
        <f>SUM(R8:R13)</f>
        <v>121248.41118612501</v>
      </c>
      <c r="S14" s="689">
        <f>SUM(S8:S13)</f>
        <v>500685.58245265251</v>
      </c>
      <c r="T14" s="687">
        <f t="shared" ref="T14" si="3">SUM(T8:T13)</f>
        <v>0.82668209599999998</v>
      </c>
      <c r="U14" s="688">
        <f>SUM(U8:U13)</f>
        <v>135191.97847252939</v>
      </c>
      <c r="V14" s="690">
        <f>SUM(V8:V13)</f>
        <v>0.93745749686399993</v>
      </c>
      <c r="W14" s="138"/>
      <c r="X14" s="351"/>
      <c r="Y14" s="351"/>
      <c r="Z14" s="351"/>
      <c r="AA14" s="352"/>
      <c r="AB14" s="352"/>
      <c r="AC14" s="352"/>
      <c r="AD14" s="444"/>
      <c r="AE14" s="444"/>
      <c r="AF14" s="444"/>
    </row>
    <row r="15" spans="1:33" ht="30" customHeight="1">
      <c r="B15" s="916" t="s">
        <v>28</v>
      </c>
      <c r="C15" s="46" t="s">
        <v>231</v>
      </c>
      <c r="D15" s="691">
        <v>57</v>
      </c>
      <c r="E15" s="115">
        <v>281</v>
      </c>
      <c r="F15" s="115">
        <v>99</v>
      </c>
      <c r="G15" s="692">
        <f>F15/E15</f>
        <v>0.35231316725978645</v>
      </c>
      <c r="H15" s="693">
        <f>458.60956+4.31</f>
        <v>462.91955999999999</v>
      </c>
      <c r="I15" s="694">
        <v>2943.2649999999999</v>
      </c>
      <c r="J15" s="694">
        <f>950+H15</f>
        <v>1412.91956</v>
      </c>
      <c r="K15" s="695">
        <f>J15/I15</f>
        <v>0.48005176564121821</v>
      </c>
      <c r="L15" s="696">
        <v>34.017699999999998</v>
      </c>
      <c r="M15" s="697">
        <v>626.90599999999995</v>
      </c>
      <c r="N15" s="115">
        <v>72.181799999999996</v>
      </c>
      <c r="O15" s="91">
        <f>N15/M15</f>
        <v>0.11513974981895213</v>
      </c>
      <c r="P15" s="115">
        <f>L15*$AD$10</f>
        <v>37.9297355</v>
      </c>
      <c r="Q15" s="698">
        <v>0</v>
      </c>
      <c r="R15" s="115">
        <v>819.75620000000004</v>
      </c>
      <c r="S15" s="205">
        <v>1819.6721</v>
      </c>
      <c r="T15" s="698">
        <v>0</v>
      </c>
      <c r="U15" s="115">
        <f>R15*$AD$10</f>
        <v>914.02816300000006</v>
      </c>
      <c r="V15" s="498">
        <f>T15*$AE$10</f>
        <v>0</v>
      </c>
      <c r="X15" s="351"/>
      <c r="Y15" s="351"/>
      <c r="Z15" s="351"/>
      <c r="AA15" s="352"/>
      <c r="AB15" s="352"/>
      <c r="AC15" s="352"/>
      <c r="AD15" s="444"/>
      <c r="AE15" s="444"/>
      <c r="AF15" s="444"/>
    </row>
    <row r="16" spans="1:33" ht="21.75" customHeight="1">
      <c r="B16" s="917"/>
      <c r="C16" s="131" t="s">
        <v>232</v>
      </c>
      <c r="D16" s="699">
        <v>1118</v>
      </c>
      <c r="E16" s="700">
        <v>6500</v>
      </c>
      <c r="F16" s="700">
        <v>4108</v>
      </c>
      <c r="G16" s="701">
        <f>F16/E16</f>
        <v>0.63200000000000001</v>
      </c>
      <c r="H16" s="702">
        <f>189.591+3.14</f>
        <v>192.73099999999999</v>
      </c>
      <c r="I16" s="703">
        <v>3681.07</v>
      </c>
      <c r="J16" s="703">
        <f>519+H16</f>
        <v>711.73099999999999</v>
      </c>
      <c r="K16" s="704">
        <f>J16/I16</f>
        <v>0.19334894473617725</v>
      </c>
      <c r="L16" s="705">
        <v>615.61785897499999</v>
      </c>
      <c r="M16" s="116">
        <v>6835.1059999999998</v>
      </c>
      <c r="N16" s="116">
        <v>2035.2485999999999</v>
      </c>
      <c r="O16" s="92">
        <f>N16/M16</f>
        <v>0.29776401419378135</v>
      </c>
      <c r="P16" s="130">
        <f>L16*$AD$9</f>
        <v>686.41391275712499</v>
      </c>
      <c r="Q16" s="706">
        <v>0.14109099999999999</v>
      </c>
      <c r="R16" s="116">
        <v>8254.2890535269999</v>
      </c>
      <c r="S16" s="675">
        <v>27334.491000000002</v>
      </c>
      <c r="T16" s="706">
        <v>4.0987999999999997E-2</v>
      </c>
      <c r="U16" s="116">
        <f>R16*$AD$9</f>
        <v>9203.5322946826054</v>
      </c>
      <c r="V16" s="508">
        <f>T16*$AE$9</f>
        <v>4.6480391999999995E-2</v>
      </c>
      <c r="X16" s="351"/>
      <c r="Y16" s="351"/>
      <c r="Z16" s="351"/>
      <c r="AA16" s="352"/>
      <c r="AB16" s="352"/>
      <c r="AC16" s="352"/>
      <c r="AD16" s="444"/>
      <c r="AE16" s="444"/>
      <c r="AF16" s="444"/>
    </row>
    <row r="17" spans="2:37" ht="33" customHeight="1" thickBot="1">
      <c r="B17" s="917"/>
      <c r="C17" s="45" t="s">
        <v>31</v>
      </c>
      <c r="D17" s="707">
        <v>105</v>
      </c>
      <c r="E17" s="708">
        <v>450</v>
      </c>
      <c r="F17" s="708">
        <v>212</v>
      </c>
      <c r="G17" s="709">
        <f>F17/E17</f>
        <v>0.47111111111111109</v>
      </c>
      <c r="H17" s="710">
        <f>279.12789+3.38</f>
        <v>282.50788999999997</v>
      </c>
      <c r="I17" s="711">
        <v>4214.8360000000002</v>
      </c>
      <c r="J17" s="711">
        <f>642+H17</f>
        <v>924.50788999999997</v>
      </c>
      <c r="K17" s="712">
        <f>J17/I17</f>
        <v>0.21934611216189667</v>
      </c>
      <c r="L17" s="713">
        <v>171.81360000000001</v>
      </c>
      <c r="M17" s="714">
        <v>824.19899999999996</v>
      </c>
      <c r="N17" s="714">
        <v>281.21839999999997</v>
      </c>
      <c r="O17" s="715">
        <f>N17/M17</f>
        <v>0.34120206406462517</v>
      </c>
      <c r="P17" s="714">
        <f>L17*$AD$11</f>
        <v>191.57216400000001</v>
      </c>
      <c r="Q17" s="716">
        <v>1.6879000000000002E-2</v>
      </c>
      <c r="R17" s="714">
        <v>2285.9629</v>
      </c>
      <c r="S17" s="717">
        <v>3649.3631999999998</v>
      </c>
      <c r="T17" s="716">
        <v>9.4870000000000006E-3</v>
      </c>
      <c r="U17" s="714">
        <f>R17*$AD$11</f>
        <v>2548.8486334999998</v>
      </c>
      <c r="V17" s="718">
        <v>4.4999999999999998E-2</v>
      </c>
      <c r="X17" s="351"/>
      <c r="Y17" s="351"/>
      <c r="Z17" s="351"/>
      <c r="AA17" s="352"/>
      <c r="AB17" s="352"/>
      <c r="AC17" s="352"/>
      <c r="AD17" s="444"/>
      <c r="AE17" s="444"/>
      <c r="AF17" s="444"/>
    </row>
    <row r="18" spans="2:37" ht="29.5" thickBot="1">
      <c r="B18" s="32" t="s">
        <v>32</v>
      </c>
      <c r="C18" s="824" t="s">
        <v>233</v>
      </c>
      <c r="D18" s="790">
        <v>223011</v>
      </c>
      <c r="E18" s="733">
        <v>0</v>
      </c>
      <c r="F18" s="791">
        <v>223011</v>
      </c>
      <c r="G18" s="792" t="s">
        <v>109</v>
      </c>
      <c r="H18" s="793">
        <v>146.07578000000001</v>
      </c>
      <c r="I18" s="736">
        <v>0</v>
      </c>
      <c r="J18" s="794">
        <f>140+H18</f>
        <v>286.07578000000001</v>
      </c>
      <c r="K18" s="795" t="s">
        <v>109</v>
      </c>
      <c r="L18" s="796">
        <v>-94</v>
      </c>
      <c r="M18" s="733" t="s">
        <v>234</v>
      </c>
      <c r="N18" s="797">
        <v>8623</v>
      </c>
      <c r="O18" s="798" t="s">
        <v>109</v>
      </c>
      <c r="P18" s="733">
        <f>L18*$AD$7</f>
        <v>-104.81</v>
      </c>
      <c r="Q18" s="799">
        <v>2.2930000000000001</v>
      </c>
      <c r="R18" s="800">
        <f>L18</f>
        <v>-94</v>
      </c>
      <c r="S18" s="801">
        <f>N18</f>
        <v>8623</v>
      </c>
      <c r="T18" s="802">
        <v>-2.3E-2</v>
      </c>
      <c r="U18" s="800">
        <f>R18*AD7</f>
        <v>-104.81</v>
      </c>
      <c r="V18" s="803">
        <f>T18*AE7</f>
        <v>-2.6081999999999998E-2</v>
      </c>
    </row>
    <row r="19" spans="2:37" ht="15" thickBot="1">
      <c r="B19" s="49" t="s">
        <v>235</v>
      </c>
      <c r="C19" s="52"/>
      <c r="D19" s="98">
        <f>SUM(D14:D18)</f>
        <v>270267</v>
      </c>
      <c r="E19" s="99">
        <f>SUM(E14:E18)</f>
        <v>88435</v>
      </c>
      <c r="F19" s="99">
        <f>SUM(F14:F18)</f>
        <v>429748</v>
      </c>
      <c r="G19" s="85">
        <f t="shared" ref="G19" si="4">F19/E19</f>
        <v>4.859478713179171</v>
      </c>
      <c r="H19" s="122">
        <f>SUM(H14:H18)</f>
        <v>2954.7795999999998</v>
      </c>
      <c r="I19" s="123">
        <f>SUM(I14:I18)</f>
        <v>15851.740000000002</v>
      </c>
      <c r="J19" s="123">
        <f>SUM(J14:J18)</f>
        <v>9325.0496000000003</v>
      </c>
      <c r="K19" s="175">
        <f t="shared" ref="K19" si="5">J19/I19</f>
        <v>0.58826662561964804</v>
      </c>
      <c r="L19" s="98">
        <f>SUM(L14:L18)</f>
        <v>9722.9279153299976</v>
      </c>
      <c r="M19" s="99">
        <f>SUM(M14:M18)</f>
        <v>19881.583999999999</v>
      </c>
      <c r="N19" s="117">
        <f>SUM(N14:N18)</f>
        <v>47326.175181883489</v>
      </c>
      <c r="O19" s="93">
        <f>N19/M19</f>
        <v>2.3804026470870476</v>
      </c>
      <c r="P19" s="117">
        <f>SUM(P14:P18)</f>
        <v>10841.064625592948</v>
      </c>
      <c r="Q19" s="143">
        <f t="shared" ref="Q19" si="6">SUM(Q14:Q18)</f>
        <v>5.708574123</v>
      </c>
      <c r="R19" s="99">
        <f>SUM(R14:R18)</f>
        <v>132514.41933965203</v>
      </c>
      <c r="S19" s="132">
        <f>SUM(S14:S18)</f>
        <v>542112.10875265254</v>
      </c>
      <c r="T19" s="143">
        <f>SUM(T14:T18)</f>
        <v>0.854157096</v>
      </c>
      <c r="U19" s="99">
        <f>SUM(U14:U18)</f>
        <v>147753.577563712</v>
      </c>
      <c r="V19" s="494">
        <f>SUM(V14:V18)</f>
        <v>1.002855888864</v>
      </c>
    </row>
    <row r="20" spans="2:37" ht="15" thickBot="1">
      <c r="B20" s="16"/>
      <c r="C20" s="54"/>
      <c r="D20" s="721"/>
      <c r="E20" s="722"/>
      <c r="F20" s="722"/>
      <c r="G20" s="723"/>
      <c r="H20" s="724"/>
      <c r="I20" s="725"/>
      <c r="J20" s="725"/>
      <c r="K20" s="726"/>
      <c r="L20" s="721"/>
      <c r="M20" s="722"/>
      <c r="N20" s="727"/>
      <c r="O20" s="728"/>
      <c r="P20" s="727"/>
      <c r="Q20" s="729"/>
      <c r="R20" s="722"/>
      <c r="S20" s="730"/>
      <c r="T20" s="729"/>
      <c r="U20" s="722"/>
      <c r="V20" s="731"/>
    </row>
    <row r="21" spans="2:37" ht="15" thickBot="1">
      <c r="B21" s="53" t="s">
        <v>236</v>
      </c>
      <c r="C21" s="51" t="s">
        <v>9</v>
      </c>
      <c r="D21" s="100"/>
      <c r="E21" s="101"/>
      <c r="F21" s="101"/>
      <c r="G21" s="86"/>
      <c r="H21" s="83"/>
      <c r="I21" s="84"/>
      <c r="J21" s="84"/>
      <c r="K21" s="176"/>
      <c r="L21" s="100"/>
      <c r="M21" s="101"/>
      <c r="N21" s="118"/>
      <c r="O21" s="94"/>
      <c r="P21" s="118"/>
      <c r="Q21" s="144"/>
      <c r="R21" s="101"/>
      <c r="S21" s="177"/>
      <c r="T21" s="144"/>
      <c r="U21" s="101"/>
      <c r="V21" s="495"/>
    </row>
    <row r="22" spans="2:37" ht="15" thickBot="1">
      <c r="B22" s="47" t="s">
        <v>149</v>
      </c>
      <c r="C22" s="80" t="s">
        <v>237</v>
      </c>
      <c r="D22" s="732">
        <v>24</v>
      </c>
      <c r="E22" s="733">
        <v>180</v>
      </c>
      <c r="F22" s="733">
        <v>25</v>
      </c>
      <c r="G22" s="734">
        <f t="shared" ref="G22:G26" si="7">F22/E22</f>
        <v>0.1388888888888889</v>
      </c>
      <c r="H22" s="735">
        <f>625.06027+23.47</f>
        <v>648.53026999999997</v>
      </c>
      <c r="I22" s="736">
        <f>12369.521-3721.031</f>
        <v>8648.4900000000016</v>
      </c>
      <c r="J22" s="736">
        <f>1365+H22</f>
        <v>2013.53027</v>
      </c>
      <c r="K22" s="737">
        <f t="shared" ref="K22:K26" si="8">J22/I22</f>
        <v>0.23281870823692918</v>
      </c>
      <c r="L22" s="732">
        <v>357.95979999999997</v>
      </c>
      <c r="M22" s="733">
        <v>8363.3648321124692</v>
      </c>
      <c r="N22" s="128">
        <v>377.76420000000002</v>
      </c>
      <c r="O22" s="738">
        <f>N22/M22</f>
        <v>4.5168925137585088E-2</v>
      </c>
      <c r="P22" s="128">
        <f>L22*AD15</f>
        <v>393.39782019999996</v>
      </c>
      <c r="Q22" s="666">
        <v>4.3411999999999999E-2</v>
      </c>
      <c r="R22" s="128">
        <v>5318.2110000000002</v>
      </c>
      <c r="S22" s="667">
        <v>5615.2767000000003</v>
      </c>
      <c r="T22" s="666">
        <v>4.0286000000000002E-2</v>
      </c>
      <c r="U22" s="128">
        <f>R22*$AD$15</f>
        <v>5844.7138890000006</v>
      </c>
      <c r="V22" s="503">
        <f>T22*$AE$15</f>
        <v>4.5160606000000006E-2</v>
      </c>
    </row>
    <row r="23" spans="2:37" ht="16.5">
      <c r="B23" s="913" t="s">
        <v>36</v>
      </c>
      <c r="C23" s="77" t="s">
        <v>238</v>
      </c>
      <c r="D23" s="739">
        <v>68</v>
      </c>
      <c r="E23" s="740">
        <v>126542</v>
      </c>
      <c r="F23" s="504">
        <v>290</v>
      </c>
      <c r="G23" s="741">
        <f t="shared" si="7"/>
        <v>2.2917292282404263E-3</v>
      </c>
      <c r="H23" s="742">
        <f>1169.76843+8.27</f>
        <v>1178.0384300000001</v>
      </c>
      <c r="I23" s="743">
        <f>4062.402+3721.031</f>
        <v>7783.433</v>
      </c>
      <c r="J23" s="743">
        <f>4230+H23</f>
        <v>5408.0384300000005</v>
      </c>
      <c r="K23" s="741">
        <f t="shared" si="8"/>
        <v>0.69481402743493781</v>
      </c>
      <c r="L23" s="739">
        <v>6368.3311999999996</v>
      </c>
      <c r="M23" s="740">
        <v>27604.255000000001</v>
      </c>
      <c r="N23" s="504">
        <v>20686.080999999998</v>
      </c>
      <c r="O23" s="744">
        <f>N23/M23</f>
        <v>0.74938015896462329</v>
      </c>
      <c r="P23" s="127">
        <f>L23*AD13</f>
        <v>6947.8493391999991</v>
      </c>
      <c r="Q23" s="668">
        <v>3.1167760000000002</v>
      </c>
      <c r="R23" s="504">
        <v>89452.088600000003</v>
      </c>
      <c r="S23" s="669">
        <v>296445.1067</v>
      </c>
      <c r="T23" s="668">
        <v>0.63689099999999998</v>
      </c>
      <c r="U23" s="504">
        <f>R23*$AD$13</f>
        <v>97592.228662599999</v>
      </c>
      <c r="V23" s="505">
        <f>T23*$AE$13</f>
        <v>0.70885968300000002</v>
      </c>
    </row>
    <row r="24" spans="2:37">
      <c r="B24" s="914"/>
      <c r="C24" s="74" t="s">
        <v>38</v>
      </c>
      <c r="D24" s="720">
        <v>1</v>
      </c>
      <c r="E24" s="116">
        <v>25</v>
      </c>
      <c r="F24" s="116">
        <v>2</v>
      </c>
      <c r="G24" s="745">
        <f t="shared" si="7"/>
        <v>0.08</v>
      </c>
      <c r="H24" s="746">
        <f>153.83683+2.35</f>
        <v>156.18682999999999</v>
      </c>
      <c r="I24" s="747">
        <v>279.64699999999999</v>
      </c>
      <c r="J24" s="747">
        <f>404+H24</f>
        <v>560.18682999999999</v>
      </c>
      <c r="K24" s="745">
        <f t="shared" si="8"/>
        <v>2.0031927036585411</v>
      </c>
      <c r="L24" s="720">
        <v>241</v>
      </c>
      <c r="M24" s="116">
        <v>800.52599999999995</v>
      </c>
      <c r="N24" s="119">
        <v>482</v>
      </c>
      <c r="O24" s="748">
        <f t="shared" ref="O24:O25" si="9">N24/M24</f>
        <v>0.60210411654337281</v>
      </c>
      <c r="P24" s="119">
        <f>L24*AD16</f>
        <v>259.55700000000002</v>
      </c>
      <c r="Q24" s="670">
        <v>3.3000000000000002E-2</v>
      </c>
      <c r="R24" s="119">
        <v>2217.1999999999998</v>
      </c>
      <c r="S24" s="671">
        <v>4434.3999999999996</v>
      </c>
      <c r="T24" s="670">
        <v>1.6500000000000001E-2</v>
      </c>
      <c r="U24" s="119">
        <f>R24*$AD$16</f>
        <v>2387.9243999999999</v>
      </c>
      <c r="V24" s="506">
        <f>T24*$AE$16</f>
        <v>1.8018000000000003E-2</v>
      </c>
    </row>
    <row r="25" spans="2:37" ht="15" thickBot="1">
      <c r="B25" s="915"/>
      <c r="C25" s="78" t="s">
        <v>39</v>
      </c>
      <c r="D25" s="749">
        <v>0</v>
      </c>
      <c r="E25" s="750">
        <v>1</v>
      </c>
      <c r="F25" s="750">
        <v>0</v>
      </c>
      <c r="G25" s="751" t="s">
        <v>109</v>
      </c>
      <c r="H25" s="752">
        <f>252.22555+0.32</f>
        <v>252.54554999999999</v>
      </c>
      <c r="I25" s="753">
        <v>1146.1969999999999</v>
      </c>
      <c r="J25" s="753">
        <f>637+H25</f>
        <v>889.54555000000005</v>
      </c>
      <c r="K25" s="751">
        <f t="shared" si="8"/>
        <v>0.77608434675714566</v>
      </c>
      <c r="L25" s="749">
        <v>0</v>
      </c>
      <c r="M25" s="750">
        <v>607.87900000000002</v>
      </c>
      <c r="N25" s="120">
        <v>0</v>
      </c>
      <c r="O25" s="95">
        <f t="shared" si="9"/>
        <v>0</v>
      </c>
      <c r="P25" s="120">
        <f>L25*AD14</f>
        <v>0</v>
      </c>
      <c r="Q25" s="672">
        <v>0</v>
      </c>
      <c r="R25" s="120">
        <v>0</v>
      </c>
      <c r="S25" s="673">
        <v>0</v>
      </c>
      <c r="T25" s="672">
        <v>0</v>
      </c>
      <c r="U25" s="120">
        <f>R25*$AD$14</f>
        <v>0</v>
      </c>
      <c r="V25" s="507">
        <f>T25*$AE$14</f>
        <v>0</v>
      </c>
    </row>
    <row r="26" spans="2:37" s="9" customFormat="1" ht="15" thickBot="1">
      <c r="B26" s="111" t="s">
        <v>239</v>
      </c>
      <c r="C26" s="111"/>
      <c r="D26" s="113">
        <f>SUM(D22:D25)</f>
        <v>93</v>
      </c>
      <c r="E26" s="113">
        <f>SUM(E22:E25)</f>
        <v>126748</v>
      </c>
      <c r="F26" s="113">
        <f>SUM(F22:F25)</f>
        <v>317</v>
      </c>
      <c r="G26" s="87">
        <f t="shared" si="7"/>
        <v>2.5010256572095811E-3</v>
      </c>
      <c r="H26" s="82">
        <f>SUM(H22:H25)</f>
        <v>2235.3010799999997</v>
      </c>
      <c r="I26" s="82">
        <f>SUM(I22:I25)</f>
        <v>17857.767000000003</v>
      </c>
      <c r="J26" s="82">
        <f>SUM(J22:J25)</f>
        <v>8871.3010800000011</v>
      </c>
      <c r="K26" s="175">
        <f t="shared" si="8"/>
        <v>0.49677549718282243</v>
      </c>
      <c r="L26" s="102">
        <f>SUM(L22:L25)</f>
        <v>6967.2909999999993</v>
      </c>
      <c r="M26" s="99">
        <f>SUM(M22:M25)</f>
        <v>37376.024832112467</v>
      </c>
      <c r="N26" s="99">
        <f>SUM(N22:N25)</f>
        <v>21545.8452</v>
      </c>
      <c r="O26" s="93">
        <f>N26/M26</f>
        <v>0.57646165681826045</v>
      </c>
      <c r="P26" s="121">
        <f>SUM(P22:P25)</f>
        <v>7600.8041593999988</v>
      </c>
      <c r="Q26" s="143">
        <f>SUM(Q22:Q25)</f>
        <v>3.1931880000000001</v>
      </c>
      <c r="R26" s="99">
        <f>SUM(R22:R25)</f>
        <v>96987.499599999996</v>
      </c>
      <c r="S26" s="132">
        <f>SUM(S22:S25)</f>
        <v>306494.78340000001</v>
      </c>
      <c r="T26" s="143">
        <f t="shared" ref="T26:V26" si="10">SUM(T22:T25)</f>
        <v>0.69367699999999999</v>
      </c>
      <c r="U26" s="99">
        <f t="shared" si="10"/>
        <v>105824.86695160001</v>
      </c>
      <c r="V26" s="494">
        <f t="shared" si="10"/>
        <v>0.77203828900000004</v>
      </c>
      <c r="W26"/>
      <c r="X26"/>
      <c r="Y26"/>
      <c r="Z26"/>
      <c r="AA26"/>
      <c r="AB26"/>
      <c r="AC26"/>
      <c r="AD26"/>
      <c r="AE26"/>
      <c r="AF26"/>
      <c r="AG26"/>
      <c r="AH26"/>
      <c r="AI26"/>
      <c r="AJ26"/>
      <c r="AK26"/>
    </row>
    <row r="27" spans="2:37" ht="15" thickBot="1">
      <c r="B27" s="55"/>
      <c r="C27" s="54"/>
      <c r="D27" s="754"/>
      <c r="E27" s="755"/>
      <c r="F27" s="755"/>
      <c r="G27" s="756"/>
      <c r="H27" s="757"/>
      <c r="I27" s="758"/>
      <c r="J27" s="758"/>
      <c r="K27" s="759"/>
      <c r="L27" s="754"/>
      <c r="M27" s="755"/>
      <c r="N27" s="755"/>
      <c r="O27" s="760"/>
      <c r="P27" s="755"/>
      <c r="Q27" s="761"/>
      <c r="R27" s="755"/>
      <c r="S27" s="762"/>
      <c r="T27" s="761"/>
      <c r="U27" s="755"/>
      <c r="V27" s="763"/>
    </row>
    <row r="28" spans="2:37">
      <c r="B28" s="897" t="s">
        <v>240</v>
      </c>
      <c r="C28" s="46" t="s">
        <v>29</v>
      </c>
      <c r="D28" s="764">
        <v>3</v>
      </c>
      <c r="E28" s="115" t="s">
        <v>109</v>
      </c>
      <c r="F28" s="115">
        <v>3</v>
      </c>
      <c r="G28" s="692" t="s">
        <v>109</v>
      </c>
      <c r="H28" s="765">
        <v>0</v>
      </c>
      <c r="I28" s="178" t="s">
        <v>109</v>
      </c>
      <c r="J28" s="766">
        <v>0</v>
      </c>
      <c r="K28" s="767" t="s">
        <v>109</v>
      </c>
      <c r="L28" s="691">
        <v>0</v>
      </c>
      <c r="M28" s="115" t="s">
        <v>109</v>
      </c>
      <c r="N28" s="691">
        <v>0</v>
      </c>
      <c r="O28" s="91" t="s">
        <v>109</v>
      </c>
      <c r="P28" s="115">
        <f>L28*$AD$12</f>
        <v>0</v>
      </c>
      <c r="Q28" s="141">
        <v>0</v>
      </c>
      <c r="R28" s="115">
        <v>0</v>
      </c>
      <c r="S28" s="115">
        <v>0</v>
      </c>
      <c r="T28" s="141">
        <v>0</v>
      </c>
      <c r="U28" s="115">
        <f>R28*$AD$12</f>
        <v>0</v>
      </c>
      <c r="V28" s="498">
        <f>T28*$AE$12</f>
        <v>0</v>
      </c>
    </row>
    <row r="29" spans="2:37">
      <c r="B29" s="898"/>
      <c r="C29" s="45" t="s">
        <v>35</v>
      </c>
      <c r="D29" s="719">
        <v>137</v>
      </c>
      <c r="E29" s="116" t="s">
        <v>109</v>
      </c>
      <c r="F29" s="116">
        <v>1374</v>
      </c>
      <c r="G29" s="768" t="s">
        <v>109</v>
      </c>
      <c r="H29" s="769">
        <v>0</v>
      </c>
      <c r="I29" s="770" t="s">
        <v>109</v>
      </c>
      <c r="J29" s="770">
        <v>0</v>
      </c>
      <c r="K29" s="745" t="s">
        <v>109</v>
      </c>
      <c r="L29" s="720">
        <v>48.620399999999997</v>
      </c>
      <c r="M29" s="116" t="s">
        <v>109</v>
      </c>
      <c r="N29" s="116">
        <v>735.91510000000005</v>
      </c>
      <c r="O29" s="92" t="s">
        <v>109</v>
      </c>
      <c r="P29" s="116">
        <f t="shared" ref="P29:P31" si="11">L29*$AD$12</f>
        <v>54.211745999999998</v>
      </c>
      <c r="Q29" s="674">
        <v>3.3218999999999999E-2</v>
      </c>
      <c r="R29" s="116">
        <v>619.92750000000001</v>
      </c>
      <c r="S29" s="675">
        <v>8521.7417000000005</v>
      </c>
      <c r="T29" s="674">
        <v>4.2969999999999996E-3</v>
      </c>
      <c r="U29" s="116">
        <f>R29*$AD$12</f>
        <v>691.21916250000004</v>
      </c>
      <c r="V29" s="508">
        <f>T29*$AE$12</f>
        <v>4.8727979999999994E-3</v>
      </c>
    </row>
    <row r="30" spans="2:37">
      <c r="B30" s="898"/>
      <c r="C30" s="45" t="s">
        <v>241</v>
      </c>
      <c r="D30" s="719">
        <v>0</v>
      </c>
      <c r="E30" s="116" t="s">
        <v>109</v>
      </c>
      <c r="F30" s="116">
        <v>0</v>
      </c>
      <c r="G30" s="768" t="s">
        <v>109</v>
      </c>
      <c r="H30" s="769">
        <v>0</v>
      </c>
      <c r="I30" s="770" t="s">
        <v>109</v>
      </c>
      <c r="J30" s="770">
        <v>0</v>
      </c>
      <c r="K30" s="745" t="s">
        <v>109</v>
      </c>
      <c r="L30" s="720">
        <v>0</v>
      </c>
      <c r="M30" s="116" t="s">
        <v>109</v>
      </c>
      <c r="N30" s="116">
        <v>0</v>
      </c>
      <c r="O30" s="92" t="s">
        <v>109</v>
      </c>
      <c r="P30" s="116">
        <f t="shared" si="11"/>
        <v>0</v>
      </c>
      <c r="Q30" s="674">
        <v>0</v>
      </c>
      <c r="R30" s="116">
        <v>0</v>
      </c>
      <c r="S30" s="675">
        <v>0</v>
      </c>
      <c r="T30" s="674">
        <v>0</v>
      </c>
      <c r="U30" s="116">
        <f>R30*$AD$12</f>
        <v>0</v>
      </c>
      <c r="V30" s="508">
        <f>T30*$AE$12</f>
        <v>0</v>
      </c>
    </row>
    <row r="31" spans="2:37">
      <c r="B31" s="898"/>
      <c r="C31" s="45" t="s">
        <v>39</v>
      </c>
      <c r="D31" s="719">
        <v>0</v>
      </c>
      <c r="E31" s="116" t="s">
        <v>109</v>
      </c>
      <c r="F31" s="116">
        <v>0</v>
      </c>
      <c r="G31" s="768" t="s">
        <v>109</v>
      </c>
      <c r="H31" s="769">
        <v>0</v>
      </c>
      <c r="I31" s="770" t="s">
        <v>109</v>
      </c>
      <c r="J31" s="770">
        <v>0</v>
      </c>
      <c r="K31" s="745" t="s">
        <v>109</v>
      </c>
      <c r="L31" s="720">
        <v>0</v>
      </c>
      <c r="M31" s="116" t="s">
        <v>109</v>
      </c>
      <c r="N31" s="116">
        <v>0</v>
      </c>
      <c r="O31" s="92" t="s">
        <v>109</v>
      </c>
      <c r="P31" s="116">
        <f t="shared" si="11"/>
        <v>0</v>
      </c>
      <c r="Q31" s="674">
        <v>0</v>
      </c>
      <c r="R31" s="116">
        <v>0</v>
      </c>
      <c r="S31" s="675">
        <v>0</v>
      </c>
      <c r="T31" s="674">
        <v>0</v>
      </c>
      <c r="U31" s="116">
        <f>R31*$AD$12</f>
        <v>0</v>
      </c>
      <c r="V31" s="508">
        <f>T31*$AE$12</f>
        <v>0</v>
      </c>
    </row>
    <row r="32" spans="2:37" ht="15" thickBot="1">
      <c r="B32" s="899"/>
      <c r="C32" s="125" t="s">
        <v>242</v>
      </c>
      <c r="D32" s="771">
        <f>SUM(D28:D31)</f>
        <v>140</v>
      </c>
      <c r="E32" s="124">
        <v>2088</v>
      </c>
      <c r="F32" s="124">
        <f>SUM(F28:F31)</f>
        <v>1377</v>
      </c>
      <c r="G32" s="772">
        <f t="shared" ref="G32" si="12">F32/E32</f>
        <v>0.65948275862068961</v>
      </c>
      <c r="H32" s="773">
        <f>292.98381+1.14</f>
        <v>294.12380999999999</v>
      </c>
      <c r="I32" s="774">
        <v>1364.884</v>
      </c>
      <c r="J32" s="774">
        <f>462+H32</f>
        <v>756.12381000000005</v>
      </c>
      <c r="K32" s="775">
        <f>J32/I32</f>
        <v>0.55398393563115989</v>
      </c>
      <c r="L32" s="771">
        <f>SUM(L28:L31)</f>
        <v>48.620399999999997</v>
      </c>
      <c r="M32" s="124">
        <v>2298.1190000000001</v>
      </c>
      <c r="N32" s="124">
        <f>SUM(N28:N31)</f>
        <v>735.91510000000005</v>
      </c>
      <c r="O32" s="440">
        <f>N32/M32</f>
        <v>0.32022497529501304</v>
      </c>
      <c r="P32" s="126">
        <f t="shared" ref="P32:R32" si="13">SUM(P28:P31)</f>
        <v>54.211745999999998</v>
      </c>
      <c r="Q32" s="142">
        <f t="shared" si="13"/>
        <v>3.3218999999999999E-2</v>
      </c>
      <c r="R32" s="126">
        <f t="shared" si="13"/>
        <v>619.92750000000001</v>
      </c>
      <c r="S32" s="206">
        <f t="shared" ref="S32" si="14">SUM(S28:S31)</f>
        <v>8521.7417000000005</v>
      </c>
      <c r="T32" s="142">
        <f t="shared" ref="T32:U32" si="15">SUM(T28:T31)</f>
        <v>4.2969999999999996E-3</v>
      </c>
      <c r="U32" s="126">
        <f t="shared" si="15"/>
        <v>691.21916250000004</v>
      </c>
      <c r="V32" s="496">
        <f>SUM(V28:V31)</f>
        <v>4.8727979999999994E-3</v>
      </c>
    </row>
    <row r="33" spans="2:33" ht="15" thickBot="1">
      <c r="B33" s="55"/>
      <c r="C33" s="54"/>
      <c r="D33" s="754"/>
      <c r="E33" s="755"/>
      <c r="F33" s="755"/>
      <c r="G33" s="756"/>
      <c r="H33" s="776"/>
      <c r="I33" s="777"/>
      <c r="J33" s="777"/>
      <c r="K33" s="778"/>
      <c r="L33" s="754"/>
      <c r="M33" s="755"/>
      <c r="N33" s="755"/>
      <c r="O33" s="760"/>
      <c r="P33" s="755"/>
      <c r="Q33" s="761"/>
      <c r="R33" s="755"/>
      <c r="S33" s="762"/>
      <c r="T33" s="761"/>
      <c r="U33" s="755"/>
      <c r="V33" s="763"/>
    </row>
    <row r="34" spans="2:33" ht="15" hidden="1" thickBot="1"/>
    <row r="35" spans="2:33" hidden="1"/>
    <row r="36" spans="2:33" ht="15" hidden="1" thickBot="1"/>
    <row r="37" spans="2:33" ht="15" hidden="1" thickBot="1">
      <c r="B37" s="16"/>
      <c r="C37" s="17"/>
      <c r="D37" s="779"/>
      <c r="E37" s="722"/>
      <c r="F37" s="722"/>
      <c r="G37" s="780"/>
      <c r="H37" s="781"/>
      <c r="I37" s="782"/>
      <c r="J37" s="782"/>
      <c r="K37" s="783"/>
      <c r="L37" s="784"/>
      <c r="M37" s="785"/>
      <c r="N37" s="785"/>
      <c r="O37" s="786"/>
      <c r="P37" s="785"/>
      <c r="Q37" s="787"/>
      <c r="R37" s="785"/>
      <c r="S37" s="788"/>
      <c r="T37" s="787"/>
      <c r="U37" s="785"/>
      <c r="V37" s="789"/>
    </row>
    <row r="38" spans="2:33" ht="15" thickBot="1">
      <c r="B38" s="18" t="s">
        <v>243</v>
      </c>
      <c r="C38" s="19"/>
      <c r="D38" s="107"/>
      <c r="E38" s="108"/>
      <c r="F38" s="108"/>
      <c r="G38" s="135"/>
      <c r="H38" s="136">
        <f>53.84+804.44</f>
        <v>858.28000000000009</v>
      </c>
      <c r="I38" s="136">
        <v>950</v>
      </c>
      <c r="J38" s="136">
        <f>32+H38</f>
        <v>890.28000000000009</v>
      </c>
      <c r="K38" s="210">
        <f>J38/I38</f>
        <v>0.93713684210526327</v>
      </c>
      <c r="L38" s="107"/>
      <c r="M38" s="108"/>
      <c r="N38" s="108"/>
      <c r="O38" s="97"/>
      <c r="P38" s="108"/>
      <c r="Q38" s="108"/>
      <c r="R38" s="108"/>
      <c r="S38" s="207"/>
      <c r="T38" s="108"/>
      <c r="U38" s="108"/>
      <c r="V38" s="499"/>
      <c r="W38" s="9"/>
      <c r="X38" s="9"/>
      <c r="Y38" s="9"/>
      <c r="Z38" s="9"/>
      <c r="AA38" s="9"/>
      <c r="AB38" s="9"/>
      <c r="AC38" s="9"/>
      <c r="AD38" s="9"/>
      <c r="AE38" s="9"/>
      <c r="AF38" s="9"/>
      <c r="AG38" s="9"/>
    </row>
    <row r="39" spans="2:33" ht="15" thickBot="1">
      <c r="B39" s="8" t="s">
        <v>170</v>
      </c>
      <c r="C39" s="15"/>
      <c r="D39" s="104">
        <f>SUM(D36,D32,D26,D19)</f>
        <v>270500</v>
      </c>
      <c r="E39" s="105">
        <f>SUM(E36,E32,E26,E19)</f>
        <v>217271</v>
      </c>
      <c r="F39" s="105">
        <f>SUM(F36,F32,F26,F19)</f>
        <v>431442</v>
      </c>
      <c r="G39" s="88">
        <f>F39/E39</f>
        <v>1.9857321041464346</v>
      </c>
      <c r="H39" s="315">
        <f>SUM(H36,H32,H26,H19,H38)</f>
        <v>6342.4844899999998</v>
      </c>
      <c r="I39" s="312">
        <f>SUM(I36,I32,I26,I19,I38)</f>
        <v>36024.391000000003</v>
      </c>
      <c r="J39" s="312">
        <f>SUM(J36,J32,J26,J19,J38)</f>
        <v>19842.754489999999</v>
      </c>
      <c r="K39" s="210">
        <f>J39/I39</f>
        <v>0.55081443264370511</v>
      </c>
      <c r="L39" s="104">
        <f>SUM(L36,L32,L26,L19)</f>
        <v>16738.839315329998</v>
      </c>
      <c r="M39" s="105">
        <f>SUM(M36,M32,M26,M19)</f>
        <v>59555.727832112461</v>
      </c>
      <c r="N39" s="105">
        <f>SUM(N36,N32,N26,N19)</f>
        <v>69607.935481883484</v>
      </c>
      <c r="O39" s="96">
        <f>N39/M39</f>
        <v>1.1687865804966431</v>
      </c>
      <c r="P39" s="105">
        <f>SUM(P36,P32,P26,P19)</f>
        <v>18496.080530992946</v>
      </c>
      <c r="Q39" s="145">
        <f>SUM(Q36,Q32,Q26,Q19)</f>
        <v>8.934981123</v>
      </c>
      <c r="R39" s="105">
        <f>SUM(R36,R32,R26,R19)</f>
        <v>230121.84643965203</v>
      </c>
      <c r="S39" s="487">
        <f>SUM(S36,S32,S26,S19)</f>
        <v>857128.63385265251</v>
      </c>
      <c r="T39" s="491">
        <f t="shared" ref="T39:V39" si="16">SUM(T36,T32,T26,T19)</f>
        <v>1.5521310960000001</v>
      </c>
      <c r="U39" s="112">
        <f t="shared" si="16"/>
        <v>254269.663677812</v>
      </c>
      <c r="V39" s="497">
        <f t="shared" si="16"/>
        <v>1.779766975864</v>
      </c>
    </row>
    <row r="40" spans="2:33" ht="21" customHeight="1">
      <c r="B40" s="20" t="s">
        <v>244</v>
      </c>
      <c r="C40" s="9"/>
      <c r="D40" s="9"/>
      <c r="E40" s="9"/>
      <c r="F40" s="9"/>
      <c r="G40" s="9"/>
      <c r="H40" s="9"/>
      <c r="I40" s="9"/>
      <c r="J40" s="149"/>
      <c r="K40" s="9"/>
      <c r="L40" s="316"/>
      <c r="M40" s="9"/>
      <c r="N40" s="150"/>
      <c r="O40" s="9"/>
      <c r="P40" s="9"/>
      <c r="Q40" s="9"/>
      <c r="R40" s="316"/>
      <c r="S40" s="11"/>
      <c r="T40" s="9"/>
      <c r="U40" s="9"/>
      <c r="V40" s="9"/>
      <c r="W40" s="9"/>
      <c r="X40" s="9"/>
      <c r="Y40" s="9"/>
      <c r="Z40" s="9"/>
      <c r="AA40" s="9"/>
      <c r="AB40" s="9"/>
      <c r="AC40" s="9"/>
      <c r="AD40" s="9"/>
      <c r="AE40" s="9"/>
      <c r="AF40" s="9"/>
      <c r="AG40" s="9"/>
    </row>
    <row r="41" spans="2:33" ht="16.5">
      <c r="B41" s="588" t="s">
        <v>245</v>
      </c>
      <c r="C41" s="9"/>
      <c r="D41" s="9"/>
      <c r="E41" s="9"/>
      <c r="F41" s="9"/>
      <c r="G41" s="9"/>
      <c r="H41" s="9"/>
      <c r="I41" s="9"/>
      <c r="J41" s="9"/>
      <c r="K41" s="9"/>
      <c r="L41" s="9"/>
      <c r="M41" s="9"/>
      <c r="N41" s="9"/>
      <c r="O41" s="9"/>
      <c r="P41" s="9"/>
      <c r="Q41" s="9"/>
      <c r="R41" s="9"/>
    </row>
    <row r="42" spans="2:33" ht="31.5" customHeight="1">
      <c r="B42" s="896" t="s">
        <v>246</v>
      </c>
      <c r="C42" s="896"/>
      <c r="D42" s="896"/>
      <c r="E42" s="896"/>
      <c r="F42" s="896"/>
      <c r="G42" s="896"/>
      <c r="H42" s="896"/>
      <c r="I42" s="896"/>
      <c r="J42" s="896"/>
      <c r="K42" s="896"/>
      <c r="L42" s="896"/>
      <c r="M42" s="896"/>
      <c r="N42" s="896"/>
      <c r="O42" s="896"/>
      <c r="P42" s="896"/>
      <c r="Q42" s="896"/>
      <c r="R42" s="896"/>
      <c r="S42" s="896"/>
      <c r="T42" s="896"/>
      <c r="U42" s="896"/>
      <c r="V42" s="896"/>
    </row>
    <row r="43" spans="2:33" ht="16.5">
      <c r="B43" s="20" t="s">
        <v>247</v>
      </c>
    </row>
    <row r="44" spans="2:33" ht="16.5">
      <c r="B44" s="655" t="s">
        <v>248</v>
      </c>
    </row>
    <row r="45" spans="2:33">
      <c r="B45" t="s">
        <v>249</v>
      </c>
    </row>
    <row r="46" spans="2:33">
      <c r="M46" s="245"/>
    </row>
    <row r="47" spans="2:33">
      <c r="F47" s="245"/>
      <c r="G47" s="245"/>
    </row>
    <row r="49" spans="11:17">
      <c r="K49" s="129"/>
    </row>
    <row r="50" spans="11:17">
      <c r="K50" s="129"/>
    </row>
    <row r="51" spans="11:17">
      <c r="K51" s="129"/>
    </row>
    <row r="52" spans="11:17">
      <c r="K52" s="129"/>
    </row>
    <row r="53" spans="11:17">
      <c r="K53" s="129"/>
    </row>
    <row r="54" spans="11:17">
      <c r="K54" s="129"/>
    </row>
    <row r="55" spans="11:17">
      <c r="K55" s="129"/>
    </row>
    <row r="56" spans="11:17">
      <c r="K56" s="129"/>
    </row>
    <row r="57" spans="11:17">
      <c r="K57" s="129"/>
    </row>
    <row r="58" spans="11:17">
      <c r="K58" s="129"/>
    </row>
    <row r="59" spans="11:17">
      <c r="K59" s="129"/>
    </row>
    <row r="60" spans="11:17">
      <c r="K60" s="129"/>
    </row>
    <row r="62" spans="11:17">
      <c r="K62" s="129"/>
      <c r="M62" s="2"/>
      <c r="P62" s="3"/>
      <c r="Q62"/>
    </row>
    <row r="63" spans="11:17">
      <c r="K63" s="129"/>
      <c r="M63" s="2"/>
      <c r="P63" s="3"/>
      <c r="Q63"/>
    </row>
    <row r="64" spans="11:17">
      <c r="K64" s="129"/>
      <c r="M64" s="2"/>
      <c r="P64" s="3"/>
      <c r="Q64"/>
    </row>
    <row r="65" spans="11:17">
      <c r="K65" s="129"/>
      <c r="M65" s="2"/>
      <c r="P65" s="3"/>
      <c r="Q65"/>
    </row>
    <row r="66" spans="11:17">
      <c r="K66" s="129"/>
      <c r="M66" s="2"/>
      <c r="P66" s="3"/>
      <c r="Q66"/>
    </row>
    <row r="67" spans="11:17">
      <c r="K67" s="129"/>
      <c r="M67" s="2"/>
      <c r="P67" s="3"/>
      <c r="Q67"/>
    </row>
    <row r="68" spans="11:17">
      <c r="K68" s="129"/>
      <c r="M68" s="2"/>
      <c r="P68" s="3"/>
      <c r="Q68"/>
    </row>
    <row r="69" spans="11:17">
      <c r="K69" s="129"/>
      <c r="M69" s="2"/>
      <c r="P69" s="3"/>
      <c r="Q69"/>
    </row>
    <row r="70" spans="11:17">
      <c r="K70" s="129"/>
      <c r="M70" s="2"/>
      <c r="P70" s="3"/>
      <c r="Q70"/>
    </row>
    <row r="71" spans="11:17">
      <c r="K71" s="129"/>
      <c r="M71" s="2"/>
      <c r="P71" s="3"/>
      <c r="Q71"/>
    </row>
    <row r="72" spans="11:17">
      <c r="K72" s="129"/>
      <c r="M72" s="2"/>
      <c r="P72" s="3"/>
      <c r="Q72"/>
    </row>
    <row r="73" spans="11:17">
      <c r="K73" s="129"/>
      <c r="M73" s="2"/>
      <c r="P73" s="3"/>
      <c r="Q73"/>
    </row>
  </sheetData>
  <mergeCells count="9">
    <mergeCell ref="B42:V42"/>
    <mergeCell ref="B28:B32"/>
    <mergeCell ref="B8:B14"/>
    <mergeCell ref="T4:V4"/>
    <mergeCell ref="L4:S4"/>
    <mergeCell ref="D4:G4"/>
    <mergeCell ref="H4:K4"/>
    <mergeCell ref="B23:B25"/>
    <mergeCell ref="B15:B17"/>
  </mergeCells>
  <pageMargins left="0.25" right="0.25" top="0.75" bottom="0.75" header="0.3" footer="0.3"/>
  <pageSetup scale="52" fitToHeight="0" orientation="landscape" r:id="rId1"/>
  <headerFooter>
    <oddHeader xml:space="preserve">&amp;CACE Q2 of Program Year 2022 Portfolio Summary Reporting Table </oddHeader>
    <oddFooter>&amp;C&amp;N&amp;R&amp;D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D34"/>
  <sheetViews>
    <sheetView showGridLines="0" topLeftCell="A5" zoomScaleNormal="100" zoomScaleSheetLayoutView="100" workbookViewId="0">
      <selection activeCell="L19" sqref="L19"/>
    </sheetView>
  </sheetViews>
  <sheetFormatPr defaultColWidth="9.26953125" defaultRowHeight="14.5"/>
  <cols>
    <col min="1" max="1" width="4.26953125" customWidth="1"/>
    <col min="2" max="2" width="22.1796875" customWidth="1"/>
    <col min="3" max="3" width="39.453125" customWidth="1"/>
    <col min="4" max="8" width="13.54296875" customWidth="1"/>
    <col min="9" max="9" width="14.54296875" customWidth="1"/>
    <col min="10" max="10" width="16.26953125" customWidth="1"/>
    <col min="11" max="11" width="16.26953125" style="4" customWidth="1"/>
    <col min="12" max="13" width="16.26953125" customWidth="1"/>
    <col min="14" max="15" width="15.7265625" style="2" customWidth="1"/>
    <col min="16" max="16" width="13.54296875" customWidth="1"/>
    <col min="20" max="20" width="9.26953125" customWidth="1"/>
  </cols>
  <sheetData>
    <row r="1" spans="1:15" ht="23.5">
      <c r="A1" s="1" t="s">
        <v>184</v>
      </c>
      <c r="K1" s="34"/>
      <c r="N1" s="33"/>
      <c r="O1" s="33"/>
    </row>
    <row r="2" spans="1:15">
      <c r="K2" s="34"/>
      <c r="N2" s="33"/>
      <c r="O2" s="33"/>
    </row>
    <row r="3" spans="1:15" ht="19" thickBot="1">
      <c r="A3" s="5"/>
      <c r="B3" s="5" t="s">
        <v>185</v>
      </c>
      <c r="C3" s="5"/>
      <c r="D3" s="5"/>
      <c r="E3" s="5"/>
      <c r="F3" s="5"/>
      <c r="G3" s="5"/>
      <c r="H3" s="5"/>
      <c r="K3" s="44"/>
      <c r="N3" s="33"/>
      <c r="O3" s="33"/>
    </row>
    <row r="4" spans="1:15" ht="43.15" customHeight="1" thickBot="1">
      <c r="A4" t="s">
        <v>148</v>
      </c>
      <c r="B4" s="447"/>
      <c r="C4" s="448"/>
      <c r="D4" s="925" t="s">
        <v>186</v>
      </c>
      <c r="E4" s="925"/>
      <c r="F4" s="926" t="s">
        <v>250</v>
      </c>
      <c r="G4" s="927"/>
      <c r="H4" s="928" t="s">
        <v>188</v>
      </c>
      <c r="I4" s="929"/>
      <c r="K4" s="34"/>
      <c r="M4" s="41"/>
      <c r="N4" s="41"/>
      <c r="O4" s="41"/>
    </row>
    <row r="5" spans="1:15" ht="21" customHeight="1" thickBot="1">
      <c r="B5" s="449"/>
      <c r="C5" s="233"/>
      <c r="D5" s="232" t="s">
        <v>190</v>
      </c>
      <c r="E5" s="61" t="s">
        <v>191</v>
      </c>
      <c r="F5" s="65" t="s">
        <v>192</v>
      </c>
      <c r="G5" s="66" t="s">
        <v>251</v>
      </c>
      <c r="H5" s="58" t="s">
        <v>194</v>
      </c>
      <c r="I5" s="450" t="s">
        <v>195</v>
      </c>
      <c r="K5" s="34"/>
      <c r="N5" s="33"/>
      <c r="O5" s="33"/>
    </row>
    <row r="6" spans="1:15" ht="52.5" customHeight="1" thickBot="1">
      <c r="B6" s="451"/>
      <c r="C6" s="234"/>
      <c r="D6" s="920" t="s">
        <v>10</v>
      </c>
      <c r="E6" s="920"/>
      <c r="F6" s="921" t="s">
        <v>252</v>
      </c>
      <c r="G6" s="922"/>
      <c r="H6" s="923" t="s">
        <v>253</v>
      </c>
      <c r="I6" s="924"/>
      <c r="K6" s="34"/>
      <c r="N6" s="33"/>
      <c r="O6" s="33"/>
    </row>
    <row r="7" spans="1:15" ht="29">
      <c r="B7" s="452" t="s">
        <v>226</v>
      </c>
      <c r="C7" s="336" t="s">
        <v>254</v>
      </c>
      <c r="D7" s="60" t="s">
        <v>255</v>
      </c>
      <c r="E7" s="73" t="s">
        <v>256</v>
      </c>
      <c r="F7" s="60" t="s">
        <v>255</v>
      </c>
      <c r="G7" s="73" t="s">
        <v>256</v>
      </c>
      <c r="H7" s="60" t="s">
        <v>255</v>
      </c>
      <c r="I7" s="453" t="s">
        <v>256</v>
      </c>
      <c r="J7" s="36"/>
      <c r="K7" s="37"/>
      <c r="L7" s="36"/>
      <c r="M7" s="36"/>
      <c r="N7" s="36"/>
      <c r="O7" s="36"/>
    </row>
    <row r="8" spans="1:15">
      <c r="B8" s="930" t="s">
        <v>21</v>
      </c>
      <c r="C8" s="337" t="s">
        <v>22</v>
      </c>
      <c r="D8" s="598">
        <v>16</v>
      </c>
      <c r="E8" s="599">
        <v>1619</v>
      </c>
      <c r="F8" s="639">
        <v>9.5719999999999992</v>
      </c>
      <c r="G8" s="640">
        <v>400.18099999999998</v>
      </c>
      <c r="H8" s="600">
        <v>12.775226851436388</v>
      </c>
      <c r="I8" s="601">
        <v>765.44900884856361</v>
      </c>
      <c r="J8" s="589"/>
      <c r="K8" s="38"/>
      <c r="L8" s="33"/>
      <c r="M8" s="33"/>
      <c r="N8" s="33"/>
      <c r="O8" s="33"/>
    </row>
    <row r="9" spans="1:15">
      <c r="B9" s="931"/>
      <c r="C9" s="338" t="s">
        <v>26</v>
      </c>
      <c r="D9" s="602">
        <v>26502</v>
      </c>
      <c r="E9" s="603">
        <v>0</v>
      </c>
      <c r="F9" s="641">
        <v>734.26700000000005</v>
      </c>
      <c r="G9" s="642">
        <v>0</v>
      </c>
      <c r="H9" s="604">
        <v>7199.8902173000006</v>
      </c>
      <c r="I9" s="605">
        <v>0</v>
      </c>
      <c r="J9" s="2"/>
      <c r="K9" s="38"/>
      <c r="L9" s="33"/>
      <c r="M9" s="33"/>
      <c r="N9" s="33"/>
      <c r="O9" s="33"/>
    </row>
    <row r="10" spans="1:15">
      <c r="B10" s="931"/>
      <c r="C10" s="201" t="s">
        <v>257</v>
      </c>
      <c r="D10" s="602">
        <v>106</v>
      </c>
      <c r="E10" s="603">
        <v>174075</v>
      </c>
      <c r="F10" s="643">
        <v>12.814</v>
      </c>
      <c r="G10" s="644">
        <v>847.89700000000005</v>
      </c>
      <c r="H10" s="606">
        <v>102</v>
      </c>
      <c r="I10" s="607">
        <v>28234</v>
      </c>
      <c r="J10" s="2"/>
      <c r="K10" s="38"/>
      <c r="L10" s="33"/>
      <c r="M10" s="33"/>
      <c r="N10" s="33"/>
      <c r="O10" s="33"/>
    </row>
    <row r="11" spans="1:15" ht="14.5" customHeight="1">
      <c r="B11" s="930" t="s">
        <v>28</v>
      </c>
      <c r="C11" s="337" t="s">
        <v>258</v>
      </c>
      <c r="D11" s="598">
        <v>14</v>
      </c>
      <c r="E11" s="599">
        <v>85</v>
      </c>
      <c r="F11" s="608">
        <v>49.54</v>
      </c>
      <c r="G11" s="609">
        <v>340.03199999999998</v>
      </c>
      <c r="H11" s="610">
        <v>14.626713779999999</v>
      </c>
      <c r="I11" s="611">
        <v>57.55253167</v>
      </c>
      <c r="J11" s="42"/>
      <c r="K11" s="42"/>
      <c r="L11" s="42"/>
      <c r="M11" s="33"/>
      <c r="N11" s="33"/>
      <c r="O11" s="33"/>
    </row>
    <row r="12" spans="1:15" ht="14.5" customHeight="1">
      <c r="B12" s="931"/>
      <c r="C12" s="339" t="s">
        <v>30</v>
      </c>
      <c r="D12" s="602">
        <v>2715</v>
      </c>
      <c r="E12" s="603">
        <v>1393</v>
      </c>
      <c r="F12" s="612">
        <v>590.64099999999996</v>
      </c>
      <c r="G12" s="613">
        <v>351.14699999999999</v>
      </c>
      <c r="H12" s="614">
        <v>1213.5060000000001</v>
      </c>
      <c r="I12" s="615">
        <v>821.74249999999995</v>
      </c>
      <c r="J12" s="42"/>
      <c r="K12" s="42"/>
      <c r="L12" s="42"/>
      <c r="M12" s="33"/>
      <c r="N12" s="33"/>
      <c r="O12" s="33"/>
    </row>
    <row r="13" spans="1:15" ht="14.5" customHeight="1" thickBot="1">
      <c r="B13" s="931"/>
      <c r="C13" s="340" t="s">
        <v>31</v>
      </c>
      <c r="D13" s="616">
        <f>'Ap B - Qtr Electric Master'!F17</f>
        <v>212</v>
      </c>
      <c r="E13" s="617" t="s">
        <v>109</v>
      </c>
      <c r="F13" s="618">
        <v>128</v>
      </c>
      <c r="G13" s="619" t="s">
        <v>109</v>
      </c>
      <c r="H13" s="620">
        <f>'Ap B - Qtr Electric Master'!N17</f>
        <v>281.21839999999997</v>
      </c>
      <c r="I13" s="621" t="s">
        <v>109</v>
      </c>
      <c r="J13" s="42"/>
      <c r="K13" s="42"/>
      <c r="L13" s="42"/>
      <c r="M13" s="33"/>
      <c r="N13" s="33"/>
      <c r="O13" s="33"/>
    </row>
    <row r="14" spans="1:15" ht="29.5" thickBot="1">
      <c r="B14" s="454" t="s">
        <v>32</v>
      </c>
      <c r="C14" s="571" t="s">
        <v>33</v>
      </c>
      <c r="D14" s="622" t="s">
        <v>109</v>
      </c>
      <c r="E14" s="623" t="s">
        <v>109</v>
      </c>
      <c r="F14" s="624" t="s">
        <v>109</v>
      </c>
      <c r="G14" s="625" t="s">
        <v>109</v>
      </c>
      <c r="H14" s="622" t="s">
        <v>109</v>
      </c>
      <c r="I14" s="623" t="s">
        <v>109</v>
      </c>
      <c r="J14" s="2" t="s">
        <v>148</v>
      </c>
      <c r="K14" s="34"/>
      <c r="L14" s="33"/>
      <c r="M14" s="33"/>
      <c r="N14" s="33"/>
      <c r="O14" s="33"/>
    </row>
    <row r="15" spans="1:15" ht="15" thickBot="1">
      <c r="B15" s="455" t="s">
        <v>235</v>
      </c>
      <c r="C15" s="341"/>
      <c r="D15" s="572">
        <f t="shared" ref="D15:I15" si="0">SUM(D8:D14)</f>
        <v>29565</v>
      </c>
      <c r="E15" s="573">
        <f t="shared" si="0"/>
        <v>177172</v>
      </c>
      <c r="F15" s="574">
        <f t="shared" si="0"/>
        <v>1524.8339999999998</v>
      </c>
      <c r="G15" s="575">
        <f t="shared" si="0"/>
        <v>1939.2569999999998</v>
      </c>
      <c r="H15" s="576">
        <f t="shared" si="0"/>
        <v>8824.0165579314362</v>
      </c>
      <c r="I15" s="577">
        <f t="shared" si="0"/>
        <v>29878.744040518563</v>
      </c>
      <c r="J15" s="579"/>
      <c r="K15" s="446"/>
      <c r="L15" s="36"/>
      <c r="M15" s="36"/>
      <c r="N15" s="36"/>
      <c r="O15" s="36"/>
    </row>
    <row r="16" spans="1:15" ht="15" thickBot="1">
      <c r="B16" s="457"/>
      <c r="C16" s="342"/>
      <c r="D16" s="50"/>
      <c r="E16" s="63"/>
      <c r="F16" s="568"/>
      <c r="G16" s="569"/>
      <c r="H16" s="16"/>
      <c r="I16" s="458"/>
      <c r="J16" s="39"/>
      <c r="K16" s="39"/>
      <c r="L16" s="39"/>
      <c r="M16" s="39"/>
      <c r="N16" s="39"/>
      <c r="O16" s="39"/>
    </row>
    <row r="17" spans="2:30">
      <c r="B17" s="918" t="s">
        <v>40</v>
      </c>
      <c r="C17" s="68" t="s">
        <v>29</v>
      </c>
      <c r="D17" s="610">
        <v>3</v>
      </c>
      <c r="E17" s="626">
        <v>0</v>
      </c>
      <c r="F17" s="627">
        <v>156</v>
      </c>
      <c r="G17" s="628">
        <v>0</v>
      </c>
      <c r="H17" s="610">
        <v>0</v>
      </c>
      <c r="I17" s="611">
        <v>0</v>
      </c>
      <c r="J17" s="4"/>
      <c r="L17" s="4"/>
      <c r="M17" s="33"/>
      <c r="N17" s="39"/>
      <c r="O17" s="39"/>
    </row>
    <row r="18" spans="2:30" ht="16.5">
      <c r="B18" s="919"/>
      <c r="C18" s="405" t="s">
        <v>259</v>
      </c>
      <c r="D18" s="620">
        <v>1250</v>
      </c>
      <c r="E18" s="629">
        <v>124</v>
      </c>
      <c r="F18" s="630">
        <v>188.47300000000001</v>
      </c>
      <c r="G18" s="631">
        <v>15.833</v>
      </c>
      <c r="H18" s="620">
        <v>711</v>
      </c>
      <c r="I18" s="621">
        <v>25</v>
      </c>
      <c r="J18" s="4"/>
      <c r="L18" s="4"/>
      <c r="M18" s="33"/>
      <c r="N18" s="39"/>
      <c r="O18" s="39"/>
    </row>
    <row r="19" spans="2:30">
      <c r="B19" s="455" t="s">
        <v>260</v>
      </c>
      <c r="C19" s="341"/>
      <c r="D19" s="227">
        <f>SUM(D17:D18)</f>
        <v>1253</v>
      </c>
      <c r="E19" s="335">
        <f t="shared" ref="E19" si="1">SUM(E17:E18)</f>
        <v>124</v>
      </c>
      <c r="F19" s="346">
        <f>SUM(F17:F18)</f>
        <v>344.47300000000001</v>
      </c>
      <c r="G19" s="347">
        <f>SUM(G17:G18)</f>
        <v>15.833</v>
      </c>
      <c r="H19" s="227">
        <f>SUM(H17:H18)</f>
        <v>711</v>
      </c>
      <c r="I19" s="456">
        <f>SUM(I17:I18)</f>
        <v>25</v>
      </c>
      <c r="J19" s="39"/>
      <c r="K19" s="39"/>
      <c r="L19" s="39"/>
      <c r="M19" s="39"/>
      <c r="N19" s="39"/>
      <c r="O19" s="39"/>
    </row>
    <row r="20" spans="2:30" ht="15" thickBot="1">
      <c r="B20" s="457"/>
      <c r="C20" s="343"/>
      <c r="D20" s="106"/>
      <c r="E20" s="219"/>
      <c r="F20" s="220"/>
      <c r="G20" s="221"/>
      <c r="H20" s="106"/>
      <c r="I20" s="459"/>
      <c r="J20" s="36"/>
      <c r="K20" s="37"/>
      <c r="L20" s="36"/>
      <c r="M20" s="36"/>
      <c r="N20" s="36"/>
      <c r="O20" s="36"/>
    </row>
    <row r="21" spans="2:30" ht="15" thickBot="1">
      <c r="B21" s="455" t="s">
        <v>171</v>
      </c>
      <c r="C21" s="341"/>
      <c r="D21" s="223"/>
      <c r="E21" s="224"/>
      <c r="F21" s="225"/>
      <c r="G21" s="226"/>
      <c r="H21" s="227"/>
      <c r="I21" s="456"/>
      <c r="J21" s="36"/>
      <c r="K21" s="37"/>
      <c r="L21" s="36"/>
      <c r="M21" s="36"/>
      <c r="N21" s="36"/>
      <c r="O21" s="36"/>
    </row>
    <row r="22" spans="2:30">
      <c r="B22" s="460" t="s">
        <v>261</v>
      </c>
      <c r="C22" s="344"/>
      <c r="D22" s="103" t="s">
        <v>109</v>
      </c>
      <c r="E22" s="228" t="s">
        <v>109</v>
      </c>
      <c r="F22" s="229" t="s">
        <v>109</v>
      </c>
      <c r="G22" s="230" t="s">
        <v>109</v>
      </c>
      <c r="H22" s="103" t="s">
        <v>109</v>
      </c>
      <c r="I22" s="461" t="s">
        <v>109</v>
      </c>
      <c r="J22" s="35"/>
      <c r="K22" s="34"/>
      <c r="L22" s="35"/>
      <c r="M22" s="35"/>
      <c r="N22" s="33"/>
      <c r="O22" s="33"/>
    </row>
    <row r="23" spans="2:30" ht="15" thickBot="1">
      <c r="B23" s="462" t="s">
        <v>262</v>
      </c>
      <c r="C23" s="345"/>
      <c r="D23" s="215">
        <f>SUM(D22)</f>
        <v>0</v>
      </c>
      <c r="E23" s="216">
        <f t="shared" ref="E23:G23" si="2">SUM(E22)</f>
        <v>0</v>
      </c>
      <c r="F23" s="217">
        <f t="shared" si="2"/>
        <v>0</v>
      </c>
      <c r="G23" s="218">
        <f t="shared" si="2"/>
        <v>0</v>
      </c>
      <c r="H23" s="215">
        <f>SUM(H22)</f>
        <v>0</v>
      </c>
      <c r="I23" s="463">
        <f>SUM(I22)</f>
        <v>0</v>
      </c>
      <c r="J23" s="40"/>
      <c r="K23" s="37"/>
      <c r="L23" s="40"/>
      <c r="M23" s="40"/>
      <c r="N23" s="36"/>
      <c r="O23" s="36"/>
    </row>
    <row r="24" spans="2:30">
      <c r="B24" s="457"/>
      <c r="C24" s="343"/>
      <c r="D24" s="106"/>
      <c r="E24" s="219"/>
      <c r="F24" s="220"/>
      <c r="G24" s="221"/>
      <c r="H24" s="106"/>
      <c r="I24" s="459"/>
      <c r="J24" s="39"/>
      <c r="K24" s="39"/>
      <c r="L24" s="39"/>
      <c r="M24" s="39"/>
      <c r="N24" s="39"/>
      <c r="O24" s="39"/>
    </row>
    <row r="25" spans="2:30" ht="15" thickBot="1">
      <c r="B25" s="462" t="s">
        <v>170</v>
      </c>
      <c r="C25" s="345"/>
      <c r="D25" s="215">
        <f t="shared" ref="D25:I25" si="3">SUM(D23,D19,D15)</f>
        <v>30818</v>
      </c>
      <c r="E25" s="216">
        <f t="shared" si="3"/>
        <v>177296</v>
      </c>
      <c r="F25" s="217">
        <f t="shared" si="3"/>
        <v>1869.3069999999998</v>
      </c>
      <c r="G25" s="218">
        <f t="shared" si="3"/>
        <v>1955.09</v>
      </c>
      <c r="H25" s="215">
        <f t="shared" si="3"/>
        <v>9535.0165579314362</v>
      </c>
      <c r="I25" s="463">
        <f t="shared" si="3"/>
        <v>29903.744040518563</v>
      </c>
      <c r="J25" s="39"/>
      <c r="K25" s="39"/>
      <c r="L25" s="39"/>
      <c r="M25" s="39"/>
      <c r="N25" s="39"/>
      <c r="O25" s="39"/>
    </row>
    <row r="26" spans="2:30" ht="15" thickBot="1">
      <c r="B26" s="464" t="s">
        <v>243</v>
      </c>
      <c r="C26" s="465"/>
      <c r="D26" s="466"/>
      <c r="E26" s="467"/>
      <c r="F26" s="468"/>
      <c r="G26" s="469"/>
      <c r="H26" s="466"/>
      <c r="I26" s="470"/>
      <c r="J26" s="39"/>
      <c r="K26" s="39"/>
      <c r="L26" s="39"/>
      <c r="M26" s="39"/>
      <c r="N26" s="39"/>
      <c r="O26" s="39"/>
    </row>
    <row r="27" spans="2:30" ht="16.5">
      <c r="B27" s="348" t="s">
        <v>263</v>
      </c>
      <c r="J27" s="36"/>
      <c r="K27" s="37"/>
      <c r="L27" s="36"/>
      <c r="M27" s="36"/>
      <c r="N27" s="36"/>
      <c r="O27" s="36"/>
    </row>
    <row r="28" spans="2:30">
      <c r="B28" s="348"/>
      <c r="J28" s="36"/>
      <c r="K28" s="37"/>
      <c r="L28" s="36"/>
      <c r="M28" s="36"/>
      <c r="N28" s="36"/>
      <c r="O28" s="36"/>
    </row>
    <row r="29" spans="2:30">
      <c r="B29" s="20"/>
      <c r="C29" s="9"/>
      <c r="D29" s="9"/>
      <c r="E29" s="9"/>
      <c r="F29" s="9"/>
      <c r="G29" s="9"/>
      <c r="H29" s="9"/>
      <c r="I29" s="9"/>
      <c r="J29" s="9"/>
      <c r="K29" s="10"/>
      <c r="L29" s="9"/>
      <c r="M29" s="9"/>
      <c r="N29" s="11"/>
      <c r="O29" s="11"/>
      <c r="P29" s="9"/>
      <c r="Q29" s="9"/>
      <c r="R29" s="9"/>
      <c r="S29" s="9"/>
      <c r="T29" s="9"/>
      <c r="U29" s="9"/>
      <c r="V29" s="9"/>
      <c r="W29" s="9"/>
      <c r="X29" s="9"/>
      <c r="Y29" s="9"/>
      <c r="Z29" s="9"/>
      <c r="AA29" s="9"/>
      <c r="AB29" s="9"/>
      <c r="AC29" s="9"/>
      <c r="AD29" s="9"/>
    </row>
    <row r="30" spans="2:30">
      <c r="C30" s="441"/>
      <c r="D30" s="441"/>
      <c r="J30" s="245"/>
    </row>
    <row r="32" spans="2:30">
      <c r="H32" s="580"/>
    </row>
    <row r="34" spans="9:9">
      <c r="I34" s="240"/>
    </row>
  </sheetData>
  <mergeCells count="9">
    <mergeCell ref="B17:B18"/>
    <mergeCell ref="D6:E6"/>
    <mergeCell ref="F6:G6"/>
    <mergeCell ref="H6:I6"/>
    <mergeCell ref="D4:E4"/>
    <mergeCell ref="F4:G4"/>
    <mergeCell ref="H4:I4"/>
    <mergeCell ref="B8:B10"/>
    <mergeCell ref="B11:B13"/>
  </mergeCells>
  <phoneticPr fontId="54" type="noConversion"/>
  <pageMargins left="0.25" right="0.25" top="0.75" bottom="0.75" header="0.3" footer="0.3"/>
  <pageSetup scale="90" fitToHeight="0" orientation="landscape" r:id="rId1"/>
  <headerFooter>
    <oddHeader>&amp;CACE Q2 of Program Year 2022 LMI Reporting Table</oddHeader>
    <oddFooter>&amp;C&amp;N&amp;R&amp;D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11" ma:contentTypeDescription="Create a new document." ma:contentTypeScope="" ma:versionID="f20c3d4365552be1c5bd30722e582e5f">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1180636fadeb78575c5e826a9f6f2c4e"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Props1.xml><?xml version="1.0" encoding="utf-8"?>
<ds:datastoreItem xmlns:ds="http://schemas.openxmlformats.org/officeDocument/2006/customXml" ds:itemID="{20C72123-CAE0-423E-B454-C0D7851903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1BAE6B-A719-4485-989D-FF83BF8056CF}">
  <ds:schemaRefs>
    <ds:schemaRef ds:uri="http://schemas.microsoft.com/sharepoint/v3/contenttype/forms"/>
  </ds:schemaRefs>
</ds:datastoreItem>
</file>

<file path=customXml/itemProps3.xml><?xml version="1.0" encoding="utf-8"?>
<ds:datastoreItem xmlns:ds="http://schemas.openxmlformats.org/officeDocument/2006/customXml" ds:itemID="{3ABA3218-46AE-4A85-9E29-3FBAD78A7292}">
  <ds:schemaRefs>
    <ds:schemaRef ds:uri="http://purl.org/dc/terms/"/>
    <ds:schemaRef ds:uri="http://www.w3.org/XML/1998/namespace"/>
    <ds:schemaRef ds:uri="http://schemas.microsoft.com/office/2006/documentManagement/types"/>
    <ds:schemaRef ds:uri="http://schemas.microsoft.com/office/infopath/2007/PartnerControls"/>
    <ds:schemaRef ds:uri="39c968e2-ee87-41b9-8fa8-4cd604c6e882"/>
    <ds:schemaRef ds:uri="http://schemas.openxmlformats.org/package/2006/metadata/core-properties"/>
    <ds:schemaRef ds:uri="http://purl.org/dc/elements/1.1/"/>
    <ds:schemaRef ds:uri="ba291332-5843-45d8-bfc3-9844fb3e26da"/>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ACE</vt:lpstr>
      <vt:lpstr>Table 1</vt:lpstr>
      <vt:lpstr>Tables 2-6</vt:lpstr>
      <vt:lpstr>Table 7</vt:lpstr>
      <vt:lpstr>Table 8</vt:lpstr>
      <vt:lpstr>Table 9</vt:lpstr>
      <vt:lpstr>Ap A - Participant Def</vt:lpstr>
      <vt:lpstr>Ap B - Qtr Electric Master</vt:lpstr>
      <vt:lpstr> Ap C - Qtr Electric LMI</vt:lpstr>
      <vt:lpstr> Ap D - Qtr Electric Business</vt:lpstr>
      <vt:lpstr>Ap E - NJ CEA Benchmarks</vt:lpstr>
      <vt:lpstr>AP F - Secondary Metrics</vt:lpstr>
      <vt:lpstr>AP G - Transfer</vt:lpstr>
      <vt:lpstr>AP H - CostTest</vt:lpstr>
      <vt:lpstr>AP I - Program Changes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Trautman, Alexis</dc:creator>
  <cp:lastModifiedBy>Trautman, Alexis</cp:lastModifiedBy>
  <dcterms:created xsi:type="dcterms:W3CDTF">1900-01-01T05:00:00Z</dcterms:created>
  <dcterms:modified xsi:type="dcterms:W3CDTF">2023-11-17T19:33:53Z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2022-01-25T14:13:43Z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a86b1542-9f49-4e02-9f21-8be907b69305</vt:lpwstr>
  </property>
  <property fmtid="{D5CDD505-2E9C-101B-9397-08002B2CF9AE}" pid="8" name="MSIP_Label_c968b3d1-e05f-4796-9c23-acaf26d588cb_ContentBits">
    <vt:lpwstr>0</vt:lpwstr>
  </property>
  <property fmtid="{D5CDD505-2E9C-101B-9397-08002B2CF9AE}" pid="9" name="ContentTypeId">
    <vt:lpwstr>0x0101001344E40FD4B6E44E8C95B60B306FD587</vt:lpwstr>
  </property>
</Properties>
</file>