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4 2023/Final Versions/"/>
    </mc:Choice>
  </mc:AlternateContent>
  <bookViews>
    <workbookView xWindow="-110" yWindow="-110" windowWidth="22780" windowHeight="14660"/>
  </bookViews>
  <sheets>
    <sheet name="Table 1" sheetId="35" r:id="rId1"/>
    <sheet name="Tables 2-6" sheetId="36" r:id="rId2"/>
    <sheet name="Table 7" sheetId="37" r:id="rId3"/>
    <sheet name="Table 8" sheetId="38" r:id="rId4"/>
    <sheet name="Ap A - Participant Def" sheetId="39" r:id="rId5"/>
    <sheet name="Ap B - Qtr Electric Master" sheetId="27" r:id="rId6"/>
    <sheet name=" Ap C - Qtr Electric LMI" sheetId="29" r:id="rId7"/>
    <sheet name=" Ap D - Qtr Electric Business" sheetId="30" r:id="rId8"/>
    <sheet name="Ap E - NJ CEA Benchmarks" sheetId="40" r:id="rId9"/>
    <sheet name="AP F - Secondary Metrics" sheetId="41" r:id="rId10"/>
    <sheet name="AP G - Transfer" sheetId="42" r:id="rId11"/>
    <sheet name="AP H - CostTest" sheetId="43" r:id="rId12"/>
    <sheet name="AP I - Program Changes" sheetId="44" r:id="rId13"/>
    <sheet name="RECO" sheetId="31" state="hidden" r:id="rId14"/>
    <sheet name="Lookup_Sheet" sheetId="32" state="hidden" r:id="rId15"/>
  </sheets>
  <definedNames>
    <definedName name="__FPMExcelClient_CellBasedFunctionStatus" localSheetId="8" hidden="1">"2_2_2_2_2_2"</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5" hidden="1">{"COVER",#N/A,FALSE,"COVERPMT";"COMPANY ORDER",#N/A,FALSE,"COVERPMT";"EXHIBIT A",#N/A,FALSE,"COVERPMT"}</definedName>
    <definedName name="wrn.FUEL._.SCHEDULE." localSheetId="8" hidden="1">{"COVER",#N/A,FALSE,"COVERPMT";"COMPANY ORDER",#N/A,FALSE,"COVERPMT";"EXHIBIT A",#N/A,FALSE,"COVERPMT"}</definedName>
    <definedName name="wrn.FUEL._.SCHEDULE." localSheetId="11" hidden="1">{"COVER",#N/A,FALSE,"COVERPMT";"COMPANY ORDER",#N/A,FALSE,"COVERPMT";"EXHIBIT A",#N/A,FALSE,"COVERPMT"}</definedName>
    <definedName name="wrn.FUEL._.SCHEDULE." localSheetId="14"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6" hidden="1">' Ap C - Qtr Electric LMI'!#REF!</definedName>
    <definedName name="Z_E3A30FBC_675D_4AD8_9B2D_12956792A138_.wvu.Rows" localSheetId="7" hidden="1">' Ap D - Qtr Electric Business'!#REF!</definedName>
    <definedName name="Z_E3A30FBC_675D_4AD8_9B2D_12956792A138_.wvu.Rows" localSheetId="5" hidden="1">'Ap B - Qtr Electric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43" l="1"/>
  <c r="C67" i="43"/>
  <c r="D67" i="43"/>
  <c r="E67" i="43"/>
  <c r="F67" i="43"/>
  <c r="F10" i="36" l="1"/>
  <c r="I10" i="36" s="1"/>
  <c r="G64" i="43" l="1"/>
  <c r="F64" i="43"/>
  <c r="E64" i="43"/>
  <c r="D64" i="43"/>
  <c r="C64" i="43"/>
  <c r="G63" i="43"/>
  <c r="F63" i="43"/>
  <c r="E63" i="43"/>
  <c r="D63" i="43"/>
  <c r="C63" i="43"/>
  <c r="G62" i="43"/>
  <c r="G61" i="43"/>
  <c r="G60" i="43"/>
  <c r="G59" i="43"/>
  <c r="E59" i="43"/>
  <c r="F59" i="43"/>
  <c r="D59" i="43"/>
  <c r="C59" i="43"/>
  <c r="G58" i="43"/>
  <c r="G57" i="43"/>
  <c r="G56" i="43"/>
  <c r="G55" i="43"/>
  <c r="G54" i="43"/>
  <c r="G53" i="43"/>
  <c r="G52" i="43"/>
  <c r="G51" i="43"/>
  <c r="G50" i="43"/>
  <c r="G49" i="43"/>
  <c r="G47" i="43"/>
  <c r="F47" i="43"/>
  <c r="E47" i="43"/>
  <c r="D47" i="43"/>
  <c r="C47" i="43"/>
  <c r="G46" i="43"/>
  <c r="E46" i="43"/>
  <c r="F46" i="43"/>
  <c r="D46" i="43"/>
  <c r="C46" i="43"/>
  <c r="G45" i="43"/>
  <c r="G44" i="43"/>
  <c r="G43" i="43"/>
  <c r="G42" i="43"/>
  <c r="E42" i="43"/>
  <c r="F42" i="43"/>
  <c r="D42" i="43"/>
  <c r="C42" i="43"/>
  <c r="G41" i="43"/>
  <c r="G40" i="43"/>
  <c r="G39" i="43"/>
  <c r="G38" i="43"/>
  <c r="G37" i="43"/>
  <c r="G36" i="43"/>
  <c r="G35" i="43"/>
  <c r="G34" i="43"/>
  <c r="G33" i="43"/>
  <c r="G31" i="43"/>
  <c r="F31" i="43"/>
  <c r="E31" i="43"/>
  <c r="D31" i="43"/>
  <c r="C31" i="43"/>
  <c r="G30" i="43"/>
  <c r="G29" i="43"/>
  <c r="G18" i="43"/>
  <c r="F18" i="43"/>
  <c r="E18" i="43"/>
  <c r="D18" i="43"/>
  <c r="C18" i="43"/>
  <c r="G26" i="43"/>
  <c r="F26" i="43"/>
  <c r="E26" i="43"/>
  <c r="D26" i="43"/>
  <c r="C26" i="43"/>
  <c r="G23" i="43"/>
  <c r="F23" i="43"/>
  <c r="E23" i="43"/>
  <c r="D23" i="43"/>
  <c r="C23" i="43"/>
  <c r="G22" i="43"/>
  <c r="G21" i="43"/>
  <c r="G16" i="43"/>
  <c r="G17" i="43" s="1"/>
  <c r="E17" i="43"/>
  <c r="F17" i="43"/>
  <c r="D17" i="43"/>
  <c r="C17" i="43"/>
  <c r="G14" i="43"/>
  <c r="G15" i="43"/>
  <c r="G13" i="43"/>
  <c r="E13" i="43"/>
  <c r="F13" i="43"/>
  <c r="D13" i="43"/>
  <c r="C13" i="43"/>
  <c r="G6" i="43"/>
  <c r="G7" i="43"/>
  <c r="G8" i="43"/>
  <c r="G9" i="43"/>
  <c r="G10" i="43"/>
  <c r="G11" i="43"/>
  <c r="G12" i="43"/>
  <c r="G5" i="43"/>
  <c r="E19" i="41" l="1"/>
  <c r="D19" i="41"/>
  <c r="C19" i="41"/>
  <c r="E17" i="41"/>
  <c r="E16" i="41"/>
  <c r="E15" i="41"/>
  <c r="D17" i="41"/>
  <c r="D16" i="41"/>
  <c r="D15" i="41"/>
  <c r="D18" i="41" l="1"/>
  <c r="C18" i="41"/>
  <c r="F32" i="37"/>
  <c r="E18" i="41" l="1"/>
  <c r="E7" i="37"/>
  <c r="I52" i="37" l="1"/>
  <c r="I51" i="37"/>
  <c r="I46" i="37"/>
  <c r="I45" i="37"/>
  <c r="I42" i="37"/>
  <c r="I41" i="37"/>
  <c r="F53" i="37"/>
  <c r="F52" i="37"/>
  <c r="F51" i="37"/>
  <c r="F46" i="37"/>
  <c r="F45" i="37"/>
  <c r="F42" i="37"/>
  <c r="F41" i="37"/>
  <c r="H53" i="37"/>
  <c r="G53" i="37"/>
  <c r="E53" i="37"/>
  <c r="D53" i="37"/>
  <c r="H48" i="37"/>
  <c r="G48" i="37"/>
  <c r="G54" i="37" s="1"/>
  <c r="E48" i="37"/>
  <c r="D48" i="37"/>
  <c r="I32" i="37"/>
  <c r="I29" i="37"/>
  <c r="I28" i="37"/>
  <c r="F28" i="37"/>
  <c r="I39" i="37"/>
  <c r="I38" i="37"/>
  <c r="I37" i="37"/>
  <c r="I36" i="37"/>
  <c r="I35" i="37"/>
  <c r="I34" i="37"/>
  <c r="I33" i="37"/>
  <c r="I31" i="37"/>
  <c r="I30" i="37"/>
  <c r="I27" i="37"/>
  <c r="I26" i="37"/>
  <c r="F38" i="37"/>
  <c r="F37" i="37"/>
  <c r="F36" i="37"/>
  <c r="F35" i="37"/>
  <c r="F34" i="37"/>
  <c r="F31" i="37"/>
  <c r="F30" i="37"/>
  <c r="F27" i="37"/>
  <c r="F26" i="37"/>
  <c r="D39" i="37"/>
  <c r="H38" i="37"/>
  <c r="H39" i="37" s="1"/>
  <c r="G38" i="37"/>
  <c r="E38" i="37"/>
  <c r="D38" i="37"/>
  <c r="H33" i="37"/>
  <c r="G33" i="37"/>
  <c r="E33" i="37"/>
  <c r="D33" i="37"/>
  <c r="I22" i="37"/>
  <c r="I21" i="37"/>
  <c r="I20" i="37"/>
  <c r="I19" i="37"/>
  <c r="I18" i="37"/>
  <c r="I16" i="37"/>
  <c r="I15" i="37"/>
  <c r="I12" i="37"/>
  <c r="I11" i="37"/>
  <c r="F18" i="37"/>
  <c r="F12" i="37"/>
  <c r="F15" i="37"/>
  <c r="F16" i="37"/>
  <c r="F20" i="37"/>
  <c r="F21" i="37"/>
  <c r="F22" i="37"/>
  <c r="F11" i="37"/>
  <c r="H23" i="37"/>
  <c r="H24" i="37" s="1"/>
  <c r="G23" i="37"/>
  <c r="E23" i="37"/>
  <c r="E24" i="37" s="1"/>
  <c r="D23" i="37"/>
  <c r="D24" i="37" s="1"/>
  <c r="H18" i="37"/>
  <c r="G18" i="37"/>
  <c r="E18" i="37"/>
  <c r="D18" i="37"/>
  <c r="E5" i="37"/>
  <c r="E6" i="37"/>
  <c r="E4" i="37"/>
  <c r="I53" i="37" l="1"/>
  <c r="H54" i="37"/>
  <c r="E39" i="37"/>
  <c r="F33" i="37"/>
  <c r="G24" i="37"/>
  <c r="I23" i="37"/>
  <c r="F23" i="37"/>
  <c r="F24" i="37"/>
  <c r="I48" i="37"/>
  <c r="I54" i="37"/>
  <c r="F48" i="37"/>
  <c r="E54" i="37"/>
  <c r="D54" i="37"/>
  <c r="G39" i="37"/>
  <c r="F54" i="37" l="1"/>
  <c r="F39" i="37"/>
  <c r="I24" i="37"/>
  <c r="L28" i="27"/>
  <c r="O28" i="27"/>
  <c r="P28" i="27"/>
  <c r="Q28" i="27"/>
  <c r="R28" i="27"/>
  <c r="S28" i="27"/>
  <c r="S24" i="27"/>
  <c r="H8" i="41" s="1"/>
  <c r="Q24" i="27"/>
  <c r="D10" i="41"/>
  <c r="C10" i="41"/>
  <c r="E10" i="41" s="1"/>
  <c r="D11" i="41"/>
  <c r="D9" i="41"/>
  <c r="D8" i="41"/>
  <c r="C9" i="41"/>
  <c r="E9" i="41" s="1"/>
  <c r="C8" i="41"/>
  <c r="E8" i="41" s="1"/>
  <c r="D7" i="41"/>
  <c r="C7" i="41"/>
  <c r="C11" i="41" s="1"/>
  <c r="E11" i="41" s="1"/>
  <c r="J18" i="36"/>
  <c r="E7" i="41" l="1"/>
  <c r="H8" i="29"/>
  <c r="O24" i="27"/>
  <c r="O17" i="27"/>
  <c r="O12" i="27"/>
  <c r="D48" i="36" l="1"/>
  <c r="N28" i="27"/>
  <c r="M28" i="27"/>
  <c r="G19" i="27"/>
  <c r="G26" i="27"/>
  <c r="G28" i="27"/>
  <c r="G24" i="27"/>
  <c r="G17" i="27"/>
  <c r="G12" i="27"/>
  <c r="F28" i="27"/>
  <c r="E28" i="27"/>
  <c r="D28" i="27"/>
  <c r="E25" i="36"/>
  <c r="E27" i="36"/>
  <c r="C9" i="42"/>
  <c r="I9" i="36"/>
  <c r="I19" i="30"/>
  <c r="H19" i="30"/>
  <c r="G19" i="30"/>
  <c r="F19" i="30"/>
  <c r="E19" i="30"/>
  <c r="D19" i="30"/>
  <c r="F9" i="36"/>
  <c r="E9" i="36"/>
  <c r="B9" i="36"/>
  <c r="G8" i="36"/>
  <c r="C8" i="36"/>
  <c r="F8" i="29"/>
  <c r="G8" i="29" s="1"/>
  <c r="G12" i="29" s="1"/>
  <c r="G16" i="29"/>
  <c r="G19" i="29" s="1"/>
  <c r="F16" i="29"/>
  <c r="E8" i="29"/>
  <c r="F8" i="36" s="1"/>
  <c r="I8" i="36" s="1"/>
  <c r="J28" i="27"/>
  <c r="I19" i="29"/>
  <c r="I9" i="29"/>
  <c r="H11" i="29"/>
  <c r="I18" i="29"/>
  <c r="H21" i="29"/>
  <c r="F21" i="29"/>
  <c r="E16" i="29"/>
  <c r="E18" i="29"/>
  <c r="I8" i="29" l="1"/>
  <c r="I12" i="29" s="1"/>
  <c r="I23" i="29" s="1"/>
  <c r="G23" i="29"/>
  <c r="E12" i="29" l="1"/>
  <c r="E23" i="29" s="1"/>
  <c r="E19" i="29"/>
  <c r="E17" i="29"/>
  <c r="E9" i="29"/>
  <c r="D21" i="29"/>
  <c r="D11" i="29" l="1"/>
  <c r="H8" i="30" l="1"/>
  <c r="E9" i="30"/>
  <c r="F9" i="30" s="1"/>
  <c r="G9" i="30" s="1"/>
  <c r="H9" i="30" l="1"/>
  <c r="I9" i="30" s="1"/>
  <c r="D8" i="30"/>
  <c r="N12" i="40" l="1"/>
  <c r="E63" i="36"/>
  <c r="E57" i="36"/>
  <c r="E58" i="36"/>
  <c r="E59" i="36"/>
  <c r="E60" i="36"/>
  <c r="E61" i="36"/>
  <c r="E56" i="36"/>
  <c r="E55" i="36"/>
  <c r="D63" i="36"/>
  <c r="C62" i="36"/>
  <c r="C63" i="36" s="1"/>
  <c r="B62" i="36"/>
  <c r="B63" i="36" s="1"/>
  <c r="D50" i="36"/>
  <c r="C49" i="36"/>
  <c r="B49" i="36"/>
  <c r="D47" i="36"/>
  <c r="C47" i="36"/>
  <c r="E47" i="36" s="1"/>
  <c r="B47" i="36"/>
  <c r="D45" i="36"/>
  <c r="C45" i="36"/>
  <c r="E45" i="36" s="1"/>
  <c r="B45" i="36"/>
  <c r="D44" i="36"/>
  <c r="C44" i="36"/>
  <c r="E44" i="36" s="1"/>
  <c r="B44" i="36"/>
  <c r="D43" i="36"/>
  <c r="C43" i="36"/>
  <c r="E43" i="36" s="1"/>
  <c r="B43" i="36"/>
  <c r="B48" i="36" s="1"/>
  <c r="B50" i="36" s="1"/>
  <c r="E35" i="36"/>
  <c r="D37" i="36"/>
  <c r="E37" i="36" s="1"/>
  <c r="C37" i="36"/>
  <c r="B37" i="36"/>
  <c r="D34" i="36"/>
  <c r="D35" i="36"/>
  <c r="C35" i="36"/>
  <c r="B35" i="36"/>
  <c r="C34" i="36"/>
  <c r="E34" i="36" s="1"/>
  <c r="B34" i="36"/>
  <c r="D33" i="36"/>
  <c r="E33" i="36" s="1"/>
  <c r="C33" i="36"/>
  <c r="B33" i="36"/>
  <c r="D32" i="36"/>
  <c r="C32" i="36"/>
  <c r="E32" i="36" s="1"/>
  <c r="B32" i="36"/>
  <c r="D31" i="36"/>
  <c r="D36" i="36" s="1"/>
  <c r="D38" i="36" s="1"/>
  <c r="C31" i="36"/>
  <c r="E31" i="36" s="1"/>
  <c r="B31" i="36"/>
  <c r="B36" i="36" s="1"/>
  <c r="B38" i="36" s="1"/>
  <c r="D26" i="36"/>
  <c r="D24" i="36"/>
  <c r="D23" i="36"/>
  <c r="D21" i="36"/>
  <c r="D22" i="36"/>
  <c r="D20" i="36"/>
  <c r="D25" i="36" s="1"/>
  <c r="D27" i="36" s="1"/>
  <c r="C26" i="36"/>
  <c r="E26" i="36" s="1"/>
  <c r="B26" i="36"/>
  <c r="C24" i="36"/>
  <c r="E24" i="36" s="1"/>
  <c r="B24" i="36"/>
  <c r="C23" i="36"/>
  <c r="E23" i="36" s="1"/>
  <c r="B23" i="36"/>
  <c r="C22" i="36"/>
  <c r="E22" i="36" s="1"/>
  <c r="B22" i="36"/>
  <c r="C21" i="36"/>
  <c r="E21" i="36" s="1"/>
  <c r="B21" i="36"/>
  <c r="C20" i="36"/>
  <c r="C25" i="36" s="1"/>
  <c r="B20" i="36"/>
  <c r="B25" i="36" s="1"/>
  <c r="B27" i="36" s="1"/>
  <c r="E7" i="36"/>
  <c r="C7" i="36"/>
  <c r="E6" i="36"/>
  <c r="E8" i="36"/>
  <c r="C27" i="36" l="1"/>
  <c r="C48" i="36"/>
  <c r="E20" i="36"/>
  <c r="C36" i="36"/>
  <c r="C38" i="36" l="1"/>
  <c r="E38" i="36" s="1"/>
  <c r="E36" i="36"/>
  <c r="C50" i="36"/>
  <c r="E50" i="36" s="1"/>
  <c r="E48" i="36"/>
  <c r="G6" i="36" l="1"/>
  <c r="G7" i="36" s="1"/>
  <c r="I7" i="36" s="1"/>
  <c r="G5" i="36" l="1"/>
  <c r="C5" i="36"/>
  <c r="B5" i="36"/>
  <c r="E5" i="36" s="1"/>
  <c r="J4" i="36"/>
  <c r="G4" i="36"/>
  <c r="F4" i="36"/>
  <c r="I4" i="36" s="1"/>
  <c r="C4" i="36"/>
  <c r="B4" i="36"/>
  <c r="E4" i="36" s="1"/>
  <c r="C4" i="35"/>
  <c r="B4" i="35"/>
  <c r="G5" i="35"/>
  <c r="F5" i="35"/>
  <c r="E5" i="35"/>
  <c r="C5" i="35"/>
  <c r="B5" i="35"/>
  <c r="N12" i="27"/>
  <c r="N17" i="27"/>
  <c r="K4" i="36" l="1"/>
  <c r="I18" i="36" s="1"/>
  <c r="E4" i="35"/>
  <c r="H5" i="35"/>
  <c r="I5" i="35"/>
  <c r="O23" i="27" l="1"/>
  <c r="O19" i="27"/>
  <c r="O16" i="27"/>
  <c r="O15" i="27"/>
  <c r="O11" i="27"/>
  <c r="O10" i="27"/>
  <c r="O8" i="27"/>
  <c r="M23" i="27"/>
  <c r="K28" i="27"/>
  <c r="K26" i="27"/>
  <c r="K23" i="27"/>
  <c r="K19" i="27"/>
  <c r="K21" i="27"/>
  <c r="K16" i="27"/>
  <c r="K15" i="27"/>
  <c r="K11" i="27"/>
  <c r="K10" i="27"/>
  <c r="K8" i="27"/>
  <c r="G23" i="27"/>
  <c r="G21" i="27"/>
  <c r="G16" i="27"/>
  <c r="G15" i="27"/>
  <c r="G11" i="27"/>
  <c r="G10" i="27"/>
  <c r="G8" i="27"/>
  <c r="E12" i="27"/>
  <c r="F5" i="36" l="1"/>
  <c r="I5" i="36" s="1"/>
  <c r="K5" i="36" s="1"/>
  <c r="N23" i="27"/>
  <c r="P23" i="27" s="1"/>
  <c r="L23" i="27"/>
  <c r="H28" i="27"/>
  <c r="P26" i="27"/>
  <c r="S17" i="27"/>
  <c r="S12" i="27"/>
  <c r="R17" i="27"/>
  <c r="P16" i="27"/>
  <c r="P15" i="27"/>
  <c r="P10" i="27"/>
  <c r="P11" i="27"/>
  <c r="P8" i="27"/>
  <c r="P9" i="27"/>
  <c r="G10" i="40" l="1"/>
  <c r="G11" i="40"/>
  <c r="G9" i="40"/>
  <c r="H12" i="40" s="1"/>
  <c r="L12" i="40" l="1"/>
  <c r="J12" i="40"/>
  <c r="H13" i="31" l="1"/>
  <c r="F13" i="31"/>
  <c r="E11" i="31"/>
  <c r="E10" i="31"/>
  <c r="E9" i="31"/>
  <c r="I12" i="31" l="1"/>
  <c r="F12" i="31"/>
  <c r="H12" i="31"/>
  <c r="E12" i="31"/>
  <c r="I7" i="41"/>
  <c r="H7" i="41"/>
  <c r="J11" i="31" l="1"/>
  <c r="J10" i="31"/>
  <c r="J9" i="31"/>
  <c r="J8" i="31"/>
  <c r="J7" i="31"/>
  <c r="J6" i="31"/>
  <c r="J5" i="31"/>
  <c r="J4" i="31"/>
  <c r="K11" i="31" l="1"/>
  <c r="H11" i="31"/>
  <c r="G11" i="31"/>
  <c r="F11" i="31"/>
  <c r="K10" i="31"/>
  <c r="G10" i="31"/>
  <c r="F10" i="31"/>
  <c r="K9" i="31"/>
  <c r="H9" i="31"/>
  <c r="G9" i="31"/>
  <c r="F9" i="31"/>
  <c r="K8" i="31"/>
  <c r="G8" i="31"/>
  <c r="F8" i="31"/>
  <c r="K7" i="31"/>
  <c r="G7" i="31"/>
  <c r="F7" i="31"/>
  <c r="K6" i="31"/>
  <c r="G6" i="31"/>
  <c r="F6" i="31"/>
  <c r="K5" i="31"/>
  <c r="G5" i="31"/>
  <c r="F5" i="31"/>
  <c r="K4" i="31"/>
  <c r="G4" i="31"/>
  <c r="F4" i="31"/>
  <c r="H10" i="31" l="1"/>
  <c r="H8" i="31" l="1"/>
  <c r="H6" i="31"/>
  <c r="H5" i="31"/>
  <c r="J24" i="27"/>
  <c r="I4" i="31" l="1"/>
  <c r="H4" i="31"/>
  <c r="J17" i="27"/>
  <c r="H7" i="31"/>
  <c r="J12" i="27"/>
  <c r="I11" i="31" l="1"/>
  <c r="I10" i="31"/>
  <c r="I9" i="31"/>
  <c r="I8" i="31"/>
  <c r="I7" i="31"/>
  <c r="I16" i="30" l="1"/>
  <c r="H16" i="30"/>
  <c r="G16" i="30"/>
  <c r="F16" i="30"/>
  <c r="E16" i="30"/>
  <c r="G10" i="30"/>
  <c r="I10" i="30"/>
  <c r="H10" i="30"/>
  <c r="F10" i="30"/>
  <c r="E10" i="30"/>
  <c r="D16" i="30"/>
  <c r="D10" i="30"/>
  <c r="H19" i="29" l="1"/>
  <c r="F19" i="29"/>
  <c r="D19" i="29"/>
  <c r="H12" i="29"/>
  <c r="H23" i="29" s="1"/>
  <c r="F12" i="29"/>
  <c r="F23" i="29" s="1"/>
  <c r="D12" i="29"/>
  <c r="D23" i="29" s="1"/>
  <c r="E24" i="27"/>
  <c r="H24" i="27"/>
  <c r="I24" i="27"/>
  <c r="L24" i="27"/>
  <c r="M24" i="27"/>
  <c r="N24" i="27"/>
  <c r="P24" i="27"/>
  <c r="F6" i="36"/>
  <c r="I6" i="36" s="1"/>
  <c r="R24" i="27"/>
  <c r="D24" i="27"/>
  <c r="E17" i="27"/>
  <c r="H17" i="27"/>
  <c r="I17" i="27"/>
  <c r="K17" i="27" s="1"/>
  <c r="L17" i="27"/>
  <c r="M17" i="27"/>
  <c r="P17" i="27"/>
  <c r="Q17" i="27"/>
  <c r="D17" i="27"/>
  <c r="E7" i="31"/>
  <c r="H12" i="27"/>
  <c r="I12" i="27"/>
  <c r="L12" i="27"/>
  <c r="M12" i="27"/>
  <c r="P12" i="27"/>
  <c r="Q12" i="27"/>
  <c r="R12" i="27"/>
  <c r="D12" i="27"/>
  <c r="E4" i="31"/>
  <c r="I28" i="27" l="1"/>
  <c r="E5" i="31"/>
  <c r="E8" i="31"/>
  <c r="E6" i="31"/>
  <c r="I5" i="31"/>
  <c r="I6" i="31"/>
  <c r="F17" i="27"/>
  <c r="F24" i="27"/>
  <c r="K24" i="27"/>
  <c r="F12" i="27"/>
  <c r="K12" i="27" l="1"/>
</calcChain>
</file>

<file path=xl/sharedStrings.xml><?xml version="1.0" encoding="utf-8"?>
<sst xmlns="http://schemas.openxmlformats.org/spreadsheetml/2006/main" count="644" uniqueCount="368">
  <si>
    <t>Energy Efficiency and PDR Savings Summary</t>
  </si>
  <si>
    <t xml:space="preserve"> </t>
  </si>
  <si>
    <t xml:space="preserve">  </t>
  </si>
  <si>
    <t>Actual Expenditures</t>
  </si>
  <si>
    <t>Participation</t>
  </si>
  <si>
    <t>A</t>
  </si>
  <si>
    <t>B</t>
  </si>
  <si>
    <t>C</t>
  </si>
  <si>
    <t>D</t>
  </si>
  <si>
    <t>E</t>
  </si>
  <si>
    <t>F</t>
  </si>
  <si>
    <t>I</t>
  </si>
  <si>
    <t>K</t>
  </si>
  <si>
    <t>Lifetime Savings (MWh)</t>
  </si>
  <si>
    <t>Residential Programs</t>
  </si>
  <si>
    <t>Sub Program</t>
  </si>
  <si>
    <t>Efficient Products</t>
  </si>
  <si>
    <t>Existing Homes</t>
  </si>
  <si>
    <t>Moderate Income Weatherization</t>
  </si>
  <si>
    <t>Total Residential</t>
  </si>
  <si>
    <t>Business Programs</t>
  </si>
  <si>
    <t>C&amp;I Direct Install</t>
  </si>
  <si>
    <t>Direct Install</t>
  </si>
  <si>
    <t>Energy Solutions for Business</t>
  </si>
  <si>
    <t>Prescriptive/Custom</t>
  </si>
  <si>
    <t>Total Business</t>
  </si>
  <si>
    <t>Multifamily</t>
  </si>
  <si>
    <t>Portfolio Total</t>
  </si>
  <si>
    <t>Supportive Costs Outside Portfolio</t>
  </si>
  <si>
    <t>Ex Ante Energy Savings</t>
  </si>
  <si>
    <t>D=C/B</t>
  </si>
  <si>
    <t>G</t>
  </si>
  <si>
    <t>H=G/F</t>
  </si>
  <si>
    <t>J</t>
  </si>
  <si>
    <t>L=K/J</t>
  </si>
  <si>
    <t>M</t>
  </si>
  <si>
    <t>N</t>
  </si>
  <si>
    <t>O</t>
  </si>
  <si>
    <t>Annual Forecasted Participation Number</t>
  </si>
  <si>
    <t>YTD % of Annual Participants</t>
  </si>
  <si>
    <t>YTD % of Annual Budget</t>
  </si>
  <si>
    <t>Annual Forecasted Retail Energy Savings (MWh)</t>
  </si>
  <si>
    <t>YTD % of Annual Energy Savings</t>
  </si>
  <si>
    <t>Efficient Products*</t>
  </si>
  <si>
    <t>Sub-Program</t>
  </si>
  <si>
    <t>Incentive Expenditures (Customer Rebates and Low/no-cost financing)</t>
  </si>
  <si>
    <t>LMI</t>
  </si>
  <si>
    <t>Non-LMI or Unverified</t>
  </si>
  <si>
    <t>N/A</t>
  </si>
  <si>
    <t>Small Commercial</t>
  </si>
  <si>
    <t>Large Commercial</t>
  </si>
  <si>
    <r>
      <t>Annual Forecasted Program Costs ($000)</t>
    </r>
    <r>
      <rPr>
        <vertAlign val="superscript"/>
        <sz val="9"/>
        <color rgb="FFFFFFFF"/>
        <rFont val="Calibri"/>
        <family val="2"/>
        <scheme val="minor"/>
      </rPr>
      <t>1</t>
    </r>
  </si>
  <si>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</si>
  <si>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Multi-Family</t>
  </si>
  <si>
    <t>Multi-Family*</t>
  </si>
  <si>
    <t>* Denotes a core EE program. Home Performance with Energy Star only includes non-LMI; the comparable program for LMI participants is Comfort Partners, which is jointly administered by the State and Utilities.</t>
  </si>
  <si>
    <t>C&amp;I Rebate Program</t>
  </si>
  <si>
    <t>Clean Heat Beneficial Electrification</t>
  </si>
  <si>
    <t>Pilot Programs</t>
  </si>
  <si>
    <t>Peak Demand Reduction</t>
  </si>
  <si>
    <t>Prescriptive/Custom, Energy Management, Engineered Solutions</t>
  </si>
  <si>
    <t>Existing Homes*</t>
  </si>
  <si>
    <t>C&amp;I Direct Install*</t>
  </si>
  <si>
    <t>C&amp;I Rebate Program*</t>
  </si>
  <si>
    <t>Clean Heat Beneficial Electrification**</t>
  </si>
  <si>
    <t>Total Pilot</t>
  </si>
  <si>
    <t>Behavioral EE, Midstream, Marketplace, HVAC</t>
  </si>
  <si>
    <t>Bring Your Own Thermostat, Commercial System Relief Program, Behavioral DR</t>
  </si>
  <si>
    <t>Reporting Period</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</si>
  <si>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</si>
  <si>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</si>
  <si>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</si>
  <si>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</si>
  <si>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</si>
  <si>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</si>
  <si>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</si>
  <si>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</si>
  <si>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RECO</t>
  </si>
  <si>
    <t>Residential</t>
  </si>
  <si>
    <t>HPwES</t>
  </si>
  <si>
    <t>Commercial</t>
  </si>
  <si>
    <t xml:space="preserve">Pilot Program </t>
  </si>
  <si>
    <t>Program Manager</t>
  </si>
  <si>
    <t>ACE</t>
  </si>
  <si>
    <t>ETG</t>
  </si>
  <si>
    <t>JCPL</t>
  </si>
  <si>
    <t>NJNG</t>
  </si>
  <si>
    <t>PSEG</t>
  </si>
  <si>
    <t>SJG</t>
  </si>
  <si>
    <t>Reporting Quarter &amp; Year</t>
  </si>
  <si>
    <t>Quarter</t>
  </si>
  <si>
    <t>YTD Reported Participation Number</t>
  </si>
  <si>
    <t>Quarter ($000)</t>
  </si>
  <si>
    <t>YTD Reported Program Costs ($000)</t>
  </si>
  <si>
    <t>Quarter Annual Retail Energy Savings (MWh)</t>
  </si>
  <si>
    <t>YTD Reported Retail Energy Savings (MWh)</t>
  </si>
  <si>
    <t>YTD Peak Demand Savings (MW)</t>
  </si>
  <si>
    <t>Quarter Lifetime Savings (MWh)</t>
  </si>
  <si>
    <t>P</t>
  </si>
  <si>
    <t>YTD Lifetime Savings (MWh)</t>
  </si>
  <si>
    <t>YTD Reported Incentive Costs ($000)</t>
  </si>
  <si>
    <t>YTD Annual Electric Savings
(MWh)</t>
  </si>
  <si>
    <t>YTD Lifetime Electric Savings
(MWh)</t>
  </si>
  <si>
    <t>YTD Peak Demand Electric Savings
(MW)</t>
  </si>
  <si>
    <t>YTD Annual Gas Savings
(Dtherm)</t>
  </si>
  <si>
    <t>YTD Lifetime Gas Savings
(Dtherm)</t>
  </si>
  <si>
    <t>YTD Reported Program Costs</t>
  </si>
  <si>
    <t>YTD Reported Incentive Costs</t>
  </si>
  <si>
    <t>Percent of Annual Target Achieved</t>
  </si>
  <si>
    <t>Annual Energy Savings (MWh)</t>
  </si>
  <si>
    <t>Annual Demand Savings (MW)</t>
  </si>
  <si>
    <t>Quarter Participants</t>
  </si>
  <si>
    <t>YTD Participants</t>
  </si>
  <si>
    <t>Annual Forecasted Participants</t>
  </si>
  <si>
    <t>Percent of Annual Forecast</t>
  </si>
  <si>
    <t>C&amp;I</t>
  </si>
  <si>
    <t>Reported Totals for Utility Administered Programs</t>
  </si>
  <si>
    <t>Comfort Partners</t>
  </si>
  <si>
    <t>Utility Total</t>
  </si>
  <si>
    <t>Quarter Expenditures ($000)</t>
  </si>
  <si>
    <t>YTD Expenditures ($000)</t>
  </si>
  <si>
    <t>Annual Budget Expenditures ($000)</t>
  </si>
  <si>
    <t>Percent of Annual Budget</t>
  </si>
  <si>
    <t>Quarter Retail (MWh)</t>
  </si>
  <si>
    <t>YTD Retail (MWh)</t>
  </si>
  <si>
    <t>Annual Target Retail Savings (MWh)</t>
  </si>
  <si>
    <t>Percent of Annual Target</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</si>
  <si>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</si>
  <si>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</si>
  <si>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</si>
  <si>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</si>
  <si>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</si>
  <si>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</si>
  <si>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</si>
  <si>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</si>
  <si>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</si>
  <si>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</si>
  <si>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</si>
  <si>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</si>
  <si>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</si>
  <si>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NJCT</t>
  </si>
  <si>
    <t>PCT</t>
  </si>
  <si>
    <t>PACT</t>
  </si>
  <si>
    <t>RIMT</t>
  </si>
  <si>
    <t>TRCT</t>
  </si>
  <si>
    <t>SCT</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</si>
  <si>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</si>
  <si>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</si>
  <si>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</si>
  <si>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</si>
  <si>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</si>
  <si>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</si>
  <si>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</si>
  <si>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</si>
  <si>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</si>
  <si>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</si>
  <si>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</si>
  <si>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</si>
  <si>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</si>
  <si>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</si>
  <si>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</si>
  <si>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</si>
  <si>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</si>
  <si>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</si>
  <si>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</si>
  <si>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</si>
  <si>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</si>
  <si>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</si>
  <si>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Program Administrator Cost Test (PAC)</t>
  </si>
  <si>
    <t>Benefit Cost ratio = (1+2+3+4+5+6+7+8)/(10+11+13)</t>
  </si>
  <si>
    <t>Ratepayer Impact Measure Test (RIM)</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</si>
  <si>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</si>
  <si>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</si>
  <si>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</si>
  <si>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</si>
  <si>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</si>
  <si>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</si>
  <si>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</si>
  <si>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</si>
  <si>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</si>
  <si>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</si>
  <si>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r>
      <t>Sector</t>
    </r>
    <r>
      <rPr>
        <vertAlign val="superscript"/>
        <sz val="9"/>
        <color indexed="9"/>
        <rFont val="Calibri"/>
        <family val="2"/>
        <scheme val="minor"/>
      </rPr>
      <t>1</t>
    </r>
  </si>
  <si>
    <r>
      <t>Expenditures</t>
    </r>
    <r>
      <rPr>
        <vertAlign val="superscript"/>
        <sz val="9"/>
        <color indexed="9"/>
        <rFont val="Calibri"/>
        <family val="2"/>
        <scheme val="minor"/>
      </rPr>
      <t>1</t>
    </r>
  </si>
  <si>
    <r>
      <t>Annual Energy Savings</t>
    </r>
    <r>
      <rPr>
        <vertAlign val="superscript"/>
        <sz val="9"/>
        <color indexed="9"/>
        <rFont val="Calibri"/>
        <family val="2"/>
        <scheme val="minor"/>
      </rPr>
      <t>1</t>
    </r>
  </si>
  <si>
    <t>Annual Target
 (%)</t>
  </si>
  <si>
    <t xml:space="preserve">Percent of Annual Target 
(%) </t>
  </si>
  <si>
    <t>(A)</t>
  </si>
  <si>
    <t>(B)</t>
  </si>
  <si>
    <t xml:space="preserve">(C) </t>
  </si>
  <si>
    <t xml:space="preserve">(D) = (A)+(B)+(C) </t>
  </si>
  <si>
    <t>(E)</t>
  </si>
  <si>
    <t>(F)</t>
  </si>
  <si>
    <t>(G) = (E)*(F)</t>
  </si>
  <si>
    <t>(H) = (D) / (G)</t>
  </si>
  <si>
    <t>Table 2 – Quantitative Performance Indicators</t>
  </si>
  <si>
    <t>Annual Energy Savings</t>
  </si>
  <si>
    <t>Expenditures</t>
  </si>
  <si>
    <t>Utility-Administered Plan Year Results</t>
  </si>
  <si>
    <t>Comfort Partners Plan Year Results</t>
  </si>
  <si>
    <t>Other Programs Plan Year Results</t>
  </si>
  <si>
    <t>Total Plan Year Results</t>
  </si>
  <si>
    <r>
      <t>Annual Target</t>
    </r>
    <r>
      <rPr>
        <vertAlign val="superscript"/>
        <sz val="9"/>
        <color rgb="FFFFFFFF"/>
        <rFont val="Calibri"/>
        <family val="2"/>
        <scheme val="minor"/>
      </rPr>
      <t>1</t>
    </r>
  </si>
  <si>
    <r>
      <t>Lifetime Persisting Demand Savings (MW-year)</t>
    </r>
    <r>
      <rPr>
        <vertAlign val="superscript"/>
        <sz val="11"/>
        <color theme="1"/>
        <rFont val="Calibri"/>
        <family val="2"/>
        <scheme val="minor"/>
      </rPr>
      <t>2</t>
    </r>
  </si>
  <si>
    <t>1 - Annual Targets reflect estimated impacts as filed the Company's 2021-2024 Clean Energy Filing</t>
  </si>
  <si>
    <t>Table 3 – Sector-Level Participation</t>
  </si>
  <si>
    <t>Table 4 – Sector-Level Expenditures</t>
  </si>
  <si>
    <t>Table 5 – Sector-Level Energy Savings</t>
  </si>
  <si>
    <t>Table 7 – Equity Performance</t>
  </si>
  <si>
    <t>Territory-Level Benchmarks</t>
  </si>
  <si>
    <r>
      <t>Overburdened</t>
    </r>
    <r>
      <rPr>
        <vertAlign val="superscript"/>
        <sz val="9"/>
        <color indexed="9"/>
        <rFont val="Calibri"/>
        <family val="2"/>
        <scheme val="minor"/>
      </rPr>
      <t>1</t>
    </r>
  </si>
  <si>
    <t>Non-Overburdened</t>
  </si>
  <si>
    <t>Population</t>
  </si>
  <si>
    <t># of Household Accounts</t>
  </si>
  <si>
    <t># of Business Acounts</t>
  </si>
  <si>
    <t>Type of Program/Offering</t>
  </si>
  <si>
    <r>
      <t>Quarter Overburdened</t>
    </r>
    <r>
      <rPr>
        <vertAlign val="superscript"/>
        <sz val="9"/>
        <color indexed="9"/>
        <rFont val="Calibri"/>
        <family val="2"/>
        <scheme val="minor"/>
      </rPr>
      <t>1</t>
    </r>
  </si>
  <si>
    <t>Quarter Non-Overburdened</t>
  </si>
  <si>
    <r>
      <t>Annual Overburdened</t>
    </r>
    <r>
      <rPr>
        <vertAlign val="superscript"/>
        <sz val="9"/>
        <color indexed="9"/>
        <rFont val="Calibri"/>
        <family val="2"/>
        <scheme val="minor"/>
      </rPr>
      <t>1</t>
    </r>
  </si>
  <si>
    <t>Annual Non-Overburdened</t>
  </si>
  <si>
    <t>Residential - Other Efficient Products</t>
  </si>
  <si>
    <t>Residential - Income-Eligible Weatherization</t>
  </si>
  <si>
    <t>Residential - Behavioral</t>
  </si>
  <si>
    <t>C&amp;I - Direct Install</t>
  </si>
  <si>
    <t>Total Core Participation</t>
  </si>
  <si>
    <t>Total Non-Core Participation</t>
  </si>
  <si>
    <t>Total Participation</t>
  </si>
  <si>
    <t>Total Core Expenditures</t>
  </si>
  <si>
    <t>Total Non-Core Expenditures</t>
  </si>
  <si>
    <t>Total Expenditures</t>
  </si>
  <si>
    <t>Total Core Annual Energy Savings</t>
  </si>
  <si>
    <t>Total Non-Core Annual Energy Savings</t>
  </si>
  <si>
    <t>Total Annual Energy Savings</t>
  </si>
  <si>
    <t>Table 8 -  Benefit-Cost Test Results</t>
  </si>
  <si>
    <t xml:space="preserve">In Word document only </t>
  </si>
  <si>
    <t xml:space="preserve">Appendix E Annual Report Baseline Calculation </t>
  </si>
  <si>
    <t>Energy Efficiency Compliance Baselines and Benchmarks (MWh)</t>
  </si>
  <si>
    <t>Electric Utility</t>
  </si>
  <si>
    <t>Plan Year</t>
  </si>
  <si>
    <t>Sales Period</t>
  </si>
  <si>
    <t>Sales
(MWh)</t>
  </si>
  <si>
    <t>Adjustments
(MWh)</t>
  </si>
  <si>
    <t>Adjusted Retail Sales
(MWh)</t>
  </si>
  <si>
    <t>Compliance Baseline
(MWh)</t>
  </si>
  <si>
    <t>Overall Annual Energy Reduction Target (%)</t>
  </si>
  <si>
    <t>Overall Annual Energy Reduction Target (MWh)</t>
  </si>
  <si>
    <t>State-Administered Annual Energy Reduction Target (%)</t>
  </si>
  <si>
    <t>State-Administered Annual Energy Reduction Target (MWh)</t>
  </si>
  <si>
    <t>Utility-Administered Annual Energy Reduction Target (%)</t>
  </si>
  <si>
    <t>Utility-Administered Annual Energy Reduction Target (MWh)</t>
  </si>
  <si>
    <t>(C) = (A)-(B)</t>
  </si>
  <si>
    <t xml:space="preserve">(D) = Average (C) </t>
  </si>
  <si>
    <t>(F) = (E) * (D)</t>
  </si>
  <si>
    <t>(G)</t>
  </si>
  <si>
    <t>(H) = (G) * (D)</t>
  </si>
  <si>
    <t>(I)</t>
  </si>
  <si>
    <t>(J) = (I) * (D)</t>
  </si>
  <si>
    <t>Notes:</t>
  </si>
  <si>
    <t>(A) Includes sales as reported on FERC Form-1, as adjusted for the given sales period (planning year)</t>
  </si>
  <si>
    <t>(B) No included adjustments</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</si>
  <si>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</si>
  <si>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</si>
  <si>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Annual Retail (MWh)</t>
  </si>
  <si>
    <t>Annual Savings</t>
  </si>
  <si>
    <t>Lifetime Savings</t>
  </si>
  <si>
    <t>Figure A-1 - Program Year [2022] Portfolio-Level Annual Energy Savings – Primary vs. Seondary Metrics</t>
  </si>
  <si>
    <t>Figure A-2 - Program Year [2022] Portfolio-Level Lifetime Energy Savings – Primary vs Secondary Metrics</t>
  </si>
  <si>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</si>
  <si>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Total</t>
  </si>
  <si>
    <t>Appendix H - Cost Effectiveness Test Details</t>
  </si>
  <si>
    <r>
      <t xml:space="preserve">Appendix </t>
    </r>
    <r>
      <rPr>
        <b/>
        <sz val="14"/>
        <rFont val="Arial"/>
        <family val="2"/>
      </rPr>
      <t>G</t>
    </r>
    <r>
      <rPr>
        <b/>
        <sz val="14"/>
        <color theme="1"/>
        <rFont val="Arial"/>
        <family val="2"/>
      </rPr>
      <t xml:space="preserve"> - Ex-ante Energy Savings held by Utility for Transfer</t>
    </r>
  </si>
  <si>
    <t>Utility-Administered Programs ex-ante energy savings 
(MWh)</t>
  </si>
  <si>
    <t>Comfort Partners ex-ante energy savings  (MWh)</t>
  </si>
  <si>
    <r>
      <t>Other Programs ex-ante energy savings  (MWh)</t>
    </r>
    <r>
      <rPr>
        <vertAlign val="superscript"/>
        <sz val="9"/>
        <color rgb="FFFFFFFF"/>
        <rFont val="Calibri"/>
        <family val="2"/>
        <scheme val="minor"/>
      </rPr>
      <t>1</t>
    </r>
  </si>
  <si>
    <t>Total ex-ante energy savings 
(MWh)</t>
  </si>
  <si>
    <t>Annual Target 
(MWh)</t>
  </si>
  <si>
    <t>Total Annual Energy (MWh)</t>
  </si>
  <si>
    <t>Dth held for transfer</t>
  </si>
  <si>
    <t>FY22-Q1</t>
  </si>
  <si>
    <t>FY22-Q2</t>
  </si>
  <si>
    <t>FY22-Q3</t>
  </si>
  <si>
    <t>FY22-Q4</t>
  </si>
  <si>
    <t>FY23-Q1</t>
  </si>
  <si>
    <t>FY23-Q2</t>
  </si>
  <si>
    <t>FY23-Q3</t>
  </si>
  <si>
    <t>FY23-Q4</t>
  </si>
  <si>
    <t>FY24-Q1</t>
  </si>
  <si>
    <t>FY24-Q2</t>
  </si>
  <si>
    <t>FY24-Q3</t>
  </si>
  <si>
    <t>FY24-Q4</t>
  </si>
  <si>
    <t>Primary Metrics - 2020/21  TRM</t>
  </si>
  <si>
    <t>Secondary Metrics - 2022 TRM</t>
  </si>
  <si>
    <t>Table F-1 – Sector-Level Energy Savings:  Primary Metrics from 2020/21 TRM</t>
  </si>
  <si>
    <t>Table F-2 – Sector-Level Energy Savings: Secondary Metrics from 2022 TRM Addendum</t>
  </si>
  <si>
    <t>%OBC2</t>
  </si>
  <si>
    <t>For Period Ending PY23Q4</t>
  </si>
  <si>
    <r>
      <t>Reported Wholesale Energy Savings</t>
    </r>
    <r>
      <rPr>
        <vertAlign val="superscript"/>
        <sz val="9"/>
        <color rgb="FFFFFFFF"/>
        <rFont val="Calibri"/>
        <family val="2"/>
        <scheme val="minor"/>
      </rPr>
      <t>2</t>
    </r>
    <r>
      <rPr>
        <sz val="9"/>
        <color indexed="9"/>
        <rFont val="Calibri"/>
        <family val="2"/>
        <scheme val="minor"/>
      </rPr>
      <t xml:space="preserve"> (MWh)</t>
    </r>
  </si>
  <si>
    <r>
      <t xml:space="preserve">2 </t>
    </r>
    <r>
      <rPr>
        <sz val="11"/>
        <color rgb="FF000000"/>
        <rFont val="Times New Roman"/>
        <family val="1"/>
      </rPr>
      <t>Wholesale savings at the gross wholesale level include retail savings plus marginal line losses, using approved line loss factor in utility’s tariff grossed up by 1.5, per the Avoided Cost Methodology in the NJ Cost Test.</t>
    </r>
  </si>
  <si>
    <t>NJCEP Comfort Partners</t>
  </si>
  <si>
    <t>Supportive Costs Outside Portfolio***</t>
  </si>
  <si>
    <t>***Supportive Costs include the Statewide Coordinator</t>
  </si>
  <si>
    <t>Behavioral</t>
  </si>
  <si>
    <t>Appliance Recycling/Rebate, Retail Lighting, Marketplace, Midstream HVAC</t>
  </si>
  <si>
    <t>Home Performance with Energy Star, Quick Home Energy Check</t>
  </si>
  <si>
    <t>Prescriptive/Custom, Energy Management, Engineered Solutions, Midstream Lighting/HVAC</t>
  </si>
  <si>
    <t>Behavioral DR</t>
  </si>
  <si>
    <t>Bring Your Own Thermostat, Commercial System Relief Program</t>
  </si>
  <si>
    <t>Note: show all percentages with one decimal point</t>
  </si>
  <si>
    <t>1/1/20 - 12/31/20</t>
  </si>
  <si>
    <t>1/1/21 - 12/31/21</t>
  </si>
  <si>
    <t>1/1/22 - 12/31/22</t>
  </si>
  <si>
    <t>Plan Year 2023</t>
  </si>
  <si>
    <t>** Savings are in captured in MMBtu and converted to MWh here</t>
  </si>
  <si>
    <t>NA</t>
  </si>
  <si>
    <r>
      <rPr>
        <vertAlign val="superscript"/>
        <sz val="11"/>
        <color theme="1"/>
        <rFont val="Calibri"/>
        <family val="2"/>
        <scheme val="minor"/>
      </rPr>
      <t>1</t>
    </r>
    <r>
      <rPr>
        <sz val="11"/>
        <color theme="1"/>
        <rFont val="Calibri"/>
        <family val="2"/>
        <scheme val="minor"/>
      </rPr>
      <t xml:space="preserve"> RECO does not have any legacy energy efficiency programs.</t>
    </r>
  </si>
  <si>
    <r>
      <rPr>
        <vertAlign val="superscript"/>
        <sz val="11"/>
        <color theme="1"/>
        <rFont val="Calibri"/>
        <family val="2"/>
        <scheme val="minor"/>
      </rPr>
      <t>2</t>
    </r>
    <r>
      <rPr>
        <sz val="11"/>
        <color theme="1"/>
        <rFont val="Calibri"/>
        <family val="2"/>
        <scheme val="minor"/>
      </rPr>
      <t xml:space="preserve"> Calculated as average annual electricity usage in the prior three calendar years per N.J.S.A. 48:3-87.9(a). Details are provided in Appendix E. </t>
    </r>
  </si>
  <si>
    <r>
      <t>Compliance Baseline  (MWh)</t>
    </r>
    <r>
      <rPr>
        <vertAlign val="superscript"/>
        <sz val="9"/>
        <color rgb="FFFFFFFF"/>
        <rFont val="Calibri"/>
        <family val="2"/>
        <scheme val="minor"/>
      </rPr>
      <t>2</t>
    </r>
  </si>
  <si>
    <t>2 - Reflects Annul Demand Savings (excluding from DR pilot program) multiplied by the Effective Useful Life of installed equipment</t>
  </si>
  <si>
    <r>
      <t>Low/Moderate-Income Lifetime Savings (MWh)</t>
    </r>
    <r>
      <rPr>
        <vertAlign val="superscript"/>
        <sz val="11"/>
        <color theme="1"/>
        <rFont val="Calibri"/>
        <family val="2"/>
        <scheme val="minor"/>
      </rPr>
      <t>3</t>
    </r>
  </si>
  <si>
    <r>
      <t>Small Commercial Lifetime Savings (MWh)</t>
    </r>
    <r>
      <rPr>
        <vertAlign val="superscript"/>
        <sz val="11"/>
        <color theme="1"/>
        <rFont val="Calibri"/>
        <family val="2"/>
        <scheme val="minor"/>
      </rPr>
      <t>4</t>
    </r>
  </si>
  <si>
    <r>
      <t>Net Present Value of Utility Cost Test Net Benefits ($)</t>
    </r>
    <r>
      <rPr>
        <vertAlign val="superscript"/>
        <sz val="11"/>
        <color theme="1"/>
        <rFont val="Calibri"/>
        <family val="2"/>
        <scheme val="minor"/>
      </rPr>
      <t>5</t>
    </r>
  </si>
  <si>
    <t>5 - Cost Effectiveness impacts are not calculated for Comfort Partners or Other Programs</t>
  </si>
  <si>
    <t>3 - Low/Moderate-Income lifetime savings are provided separately for Comfort Partners and any income-qualified Residential or Multi-Family program.</t>
  </si>
  <si>
    <t>4 - Small Commercial lifetime savings are Direct Install program savings and those from C&amp;I small business customers (&lt;200 kW peak demand) in other programs.</t>
  </si>
  <si>
    <t>State-Wide Coordinator</t>
  </si>
  <si>
    <t>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t>
  </si>
  <si>
    <t>YTD</t>
  </si>
  <si>
    <t>Year to Date</t>
  </si>
  <si>
    <t>Utility-Administered Quarterly Results</t>
  </si>
  <si>
    <t>Comfort Partners Plan Quarterly Results</t>
  </si>
  <si>
    <t>Other Programs Plan Quarterly Results</t>
  </si>
  <si>
    <t>Total Plan Quarterly Results</t>
  </si>
  <si>
    <t>Benefit Cost Ratio = (11+12+13)/(9+11)</t>
  </si>
  <si>
    <t>Lifetime Utility Revenue Gained</t>
  </si>
  <si>
    <t>Societal Cost Test (SCT)</t>
  </si>
  <si>
    <t>Avoided Wholesale Volatility Costs</t>
  </si>
  <si>
    <t>Lifetime Avoided Emission Benefit</t>
  </si>
  <si>
    <t>Lifetime Economic Multiplier Benefit</t>
  </si>
  <si>
    <t>Total Benefit = (16+17+18+19+20+21+22+23+24)</t>
  </si>
  <si>
    <t>Total Costs = (25+26+27)</t>
  </si>
  <si>
    <t>Benefit Cost Ratio = (16+17+18+19+20+21+22+23+24)/(25+26+27)</t>
  </si>
  <si>
    <t>Total Costs = 38+39+40</t>
  </si>
  <si>
    <t>Benefit Cost Ratio = (28+29+30+31+32+33+34+35+36+37)/(38+39+40)</t>
  </si>
  <si>
    <t>Net Present Value of Utility Cost Test Net Benefits (Thousands $)</t>
  </si>
  <si>
    <t>`</t>
  </si>
  <si>
    <r>
      <t>Table 6 – Annual Costs and Budget Variances by Category</t>
    </r>
    <r>
      <rPr>
        <vertAlign val="superscript"/>
        <sz val="11"/>
        <color theme="1"/>
        <rFont val="Calibri"/>
        <family val="2"/>
        <scheme val="minor"/>
      </rPr>
      <t>1</t>
    </r>
  </si>
  <si>
    <t>1 - Excludes Comfort Partners</t>
  </si>
  <si>
    <t>1 - Excludes Statewide Coordinator</t>
  </si>
  <si>
    <t>Residential - HPwES and Quick Home Energy Checkups</t>
  </si>
  <si>
    <t>C&amp;I - Prescriptive/Custom, Midstream, Energy Solutions</t>
  </si>
  <si>
    <t>Peak DR -Behavioral DR</t>
  </si>
  <si>
    <t>Peak DR - BYOT, CSRP</t>
  </si>
  <si>
    <t>Estimated Annual Energy Savings Held by RECO</t>
  </si>
  <si>
    <t>Efficient Products: Marketplace</t>
  </si>
  <si>
    <r>
      <t>Residential</t>
    </r>
    <r>
      <rPr>
        <vertAlign val="superscript"/>
        <sz val="11"/>
        <color theme="1"/>
        <rFont val="Calibri"/>
        <family val="2"/>
        <scheme val="minor"/>
      </rPr>
      <t>2</t>
    </r>
  </si>
  <si>
    <r>
      <t>Peak Demand Reduction</t>
    </r>
    <r>
      <rPr>
        <vertAlign val="superscript"/>
        <sz val="11"/>
        <color theme="1"/>
        <rFont val="Calibri"/>
        <family val="2"/>
        <scheme val="minor"/>
      </rPr>
      <t>3</t>
    </r>
  </si>
  <si>
    <r>
      <t>1</t>
    </r>
    <r>
      <rPr>
        <sz val="10"/>
        <color theme="1"/>
        <rFont val="Arial"/>
        <family val="2"/>
      </rPr>
      <t xml:space="preserve"> Annual energy savings represent the total expected annual savings from all energy efficiency measures within each sector, and not only those measures affected by the FY2022 TRM Addendum.</t>
    </r>
    <r>
      <rPr>
        <vertAlign val="superscript"/>
        <sz val="10"/>
        <color theme="1"/>
        <rFont val="Arial"/>
        <family val="2"/>
      </rPr>
      <t xml:space="preserve"> </t>
    </r>
    <r>
      <rPr>
        <sz val="10"/>
        <color theme="1"/>
        <rFont val="Arial"/>
        <family val="2"/>
      </rPr>
      <t>This excludes the Comfort Partners Program.</t>
    </r>
  </si>
  <si>
    <t>Core</t>
  </si>
  <si>
    <t>Additional</t>
  </si>
  <si>
    <t>Joint</t>
  </si>
  <si>
    <t>Residential Efficient Products</t>
  </si>
  <si>
    <t>Home Performance with Energy Star</t>
  </si>
  <si>
    <t>Small Business Direct Install</t>
  </si>
  <si>
    <t>Commercial and Industrial Rebate</t>
  </si>
  <si>
    <t>EE Portfolio</t>
  </si>
  <si>
    <t>Initial (Filed)</t>
  </si>
  <si>
    <t>PY23 Final</t>
  </si>
  <si>
    <t>n/a</t>
  </si>
  <si>
    <t>Benefit Cost ratio = (1+2+3+4+5+6+7+8) - (9+10+11)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</si>
</sst>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
    <numFmt numFmtId="169" formatCode="0.0%"/>
    <numFmt numFmtId="170" formatCode="_(* #,##0.000_);_(* \(#,##0.000\);_(* &quot;-&quot;??_);_(@_)"/>
  </numFmts>
  <fonts count="3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sz val="10"/>
      <name val="Arial"/>
      <family val="2"/>
    </font>
    <font>
      <vertAlign val="superscript"/>
      <sz val="9"/>
      <color indexed="9"/>
      <name val="Calibri"/>
      <family val="2"/>
      <scheme val="minor"/>
    </font>
    <font>
      <vertAlign val="superscript"/>
      <sz val="11"/>
      <color theme="1"/>
      <name val="Calibri"/>
      <family val="2"/>
      <scheme val="minor"/>
    </font>
    <font>
      <sz val="11"/>
      <color theme="0"/>
      <name val="Calibri"/>
      <family val="2"/>
      <scheme val="minor"/>
    </font>
    <font>
      <strike/>
      <sz val="11"/>
      <color theme="1"/>
      <name val="Calibri"/>
      <family val="2"/>
      <scheme val="minor"/>
    </font>
    <font>
      <sz val="11"/>
      <name val="Arial Black"/>
      <family val="2"/>
    </font>
    <font>
      <u/>
      <sz val="16"/>
      <name val="Arial Black"/>
      <family val="2"/>
    </font>
    <font>
      <b/>
      <sz val="11"/>
      <name val="Calibri "/>
    </font>
    <font>
      <b/>
      <sz val="12"/>
      <color indexed="9"/>
      <name val="Calibri"/>
      <family val="2"/>
      <scheme val="minor"/>
    </font>
    <font>
      <sz val="12"/>
      <name val="Calibri"/>
      <family val="2"/>
      <scheme val="minor"/>
    </font>
    <font>
      <b/>
      <sz val="12"/>
      <name val="Calibri"/>
      <family val="2"/>
      <scheme val="minor"/>
    </font>
    <font>
      <sz val="12"/>
      <color theme="1"/>
      <name val="Calibri"/>
      <family val="2"/>
      <scheme val="minor"/>
    </font>
    <font>
      <sz val="12"/>
      <color rgb="FF000000"/>
      <name val="Calibri"/>
      <family val="2"/>
      <scheme val="minor"/>
    </font>
    <font>
      <sz val="11"/>
      <color theme="1"/>
      <name val="Arial"/>
      <family val="2"/>
    </font>
    <font>
      <b/>
      <sz val="14"/>
      <color theme="1"/>
      <name val="Arial"/>
      <family val="2"/>
    </font>
    <font>
      <b/>
      <sz val="14"/>
      <name val="Arial"/>
      <family val="2"/>
    </font>
    <font>
      <sz val="11"/>
      <name val="Arial"/>
      <family val="2"/>
    </font>
    <font>
      <sz val="12"/>
      <color rgb="FF000000"/>
      <name val="Times New Roman"/>
      <family val="1"/>
    </font>
    <font>
      <b/>
      <sz val="11"/>
      <color theme="1"/>
      <name val="Arial"/>
      <family val="2"/>
    </font>
    <font>
      <vertAlign val="superscript"/>
      <sz val="11"/>
      <color rgb="FF000000"/>
      <name val="Times New Roman"/>
      <family val="1"/>
    </font>
    <font>
      <sz val="11"/>
      <color rgb="FF000000"/>
      <name val="Times New Roman"/>
      <family val="1"/>
    </font>
    <font>
      <i/>
      <sz val="11"/>
      <color theme="1"/>
      <name val="Calibri"/>
      <family val="2"/>
      <scheme val="minor"/>
    </font>
    <font>
      <b/>
      <sz val="12"/>
      <color theme="0"/>
      <name val="Calibri"/>
      <family val="2"/>
      <scheme val="minor"/>
    </font>
    <font>
      <vertAlign val="superscript"/>
      <sz val="10"/>
      <color theme="1"/>
      <name val="Arial"/>
      <family val="2"/>
    </font>
    <font>
      <sz val="10"/>
      <color theme="1"/>
      <name val="Arial"/>
      <family val="2"/>
    </font>
  </fonts>
  <fills count="25">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A6A6A6"/>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bgColor indexed="64"/>
      </patternFill>
    </fill>
    <fill>
      <patternFill patternType="solid">
        <fgColor theme="0" tint="-4.9989318521683403E-2"/>
        <bgColor indexed="64"/>
      </patternFill>
    </fill>
  </fills>
  <borders count="8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7" fillId="0" borderId="0"/>
    <xf numFmtId="0" fontId="25" fillId="0" borderId="0"/>
  </cellStyleXfs>
  <cellXfs count="587">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5" borderId="18" xfId="0" applyFill="1" applyBorder="1"/>
    <xf numFmtId="0" fontId="3" fillId="3" borderId="18" xfId="0" applyFont="1" applyFill="1" applyBorder="1"/>
    <xf numFmtId="0" fontId="3" fillId="3" borderId="16" xfId="0" applyFont="1" applyFill="1" applyBorder="1"/>
    <xf numFmtId="0" fontId="0" fillId="0" borderId="18" xfId="0" applyBorder="1"/>
    <xf numFmtId="0" fontId="2" fillId="0" borderId="0" xfId="0" applyFont="1"/>
    <xf numFmtId="165" fontId="2" fillId="0" borderId="0" xfId="2" applyNumberFormat="1" applyFont="1"/>
    <xf numFmtId="164" fontId="2" fillId="0" borderId="0" xfId="1" applyNumberFormat="1" applyFont="1"/>
    <xf numFmtId="0" fontId="7" fillId="2" borderId="9" xfId="0" applyFont="1" applyFill="1" applyBorder="1" applyAlignment="1">
      <alignment horizontal="center" vertical="center" wrapText="1"/>
    </xf>
    <xf numFmtId="0" fontId="0" fillId="0" borderId="16" xfId="0" applyBorder="1"/>
    <xf numFmtId="0" fontId="7" fillId="2" borderId="7" xfId="0" applyFont="1" applyFill="1" applyBorder="1" applyAlignment="1">
      <alignment horizontal="center" vertical="center" wrapText="1"/>
    </xf>
    <xf numFmtId="0" fontId="3" fillId="3" borderId="33" xfId="0" applyFont="1" applyFill="1" applyBorder="1"/>
    <xf numFmtId="164" fontId="3" fillId="3" borderId="35" xfId="1" applyNumberFormat="1" applyFont="1" applyFill="1" applyBorder="1" applyAlignment="1"/>
    <xf numFmtId="0" fontId="10" fillId="0" borderId="0" xfId="0" applyFont="1"/>
    <xf numFmtId="0" fontId="7" fillId="2" borderId="39"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7" borderId="39" xfId="0" applyFont="1" applyFill="1" applyBorder="1" applyAlignment="1">
      <alignment horizontal="center" vertical="center" wrapText="1"/>
    </xf>
    <xf numFmtId="0" fontId="7" fillId="7" borderId="7" xfId="0"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40" xfId="0" applyFont="1" applyFill="1" applyBorder="1" applyAlignment="1">
      <alignment horizontal="center" vertical="center" wrapText="1"/>
    </xf>
    <xf numFmtId="164" fontId="3" fillId="3" borderId="41" xfId="1" applyNumberFormat="1" applyFont="1" applyFill="1" applyBorder="1" applyAlignment="1"/>
    <xf numFmtId="0" fontId="3" fillId="3" borderId="30" xfId="0" applyFont="1" applyFill="1" applyBorder="1"/>
    <xf numFmtId="0" fontId="3" fillId="3" borderId="43"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45" xfId="0" applyFont="1" applyFill="1" applyBorder="1"/>
    <xf numFmtId="0" fontId="3" fillId="3" borderId="47" xfId="0" applyFont="1" applyFill="1" applyBorder="1"/>
    <xf numFmtId="0" fontId="3" fillId="3" borderId="49" xfId="0" applyFont="1" applyFill="1" applyBorder="1"/>
    <xf numFmtId="0" fontId="7" fillId="2" borderId="1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0" fillId="0" borderId="17" xfId="0" applyBorder="1" applyAlignment="1">
      <alignment horizontal="center" vertical="center"/>
    </xf>
    <xf numFmtId="0" fontId="7" fillId="7" borderId="19"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0" fontId="6" fillId="2" borderId="52" xfId="0" applyFont="1" applyFill="1" applyBorder="1" applyAlignment="1">
      <alignment horizontal="center" vertical="center" wrapText="1"/>
    </xf>
    <xf numFmtId="0" fontId="0" fillId="5" borderId="16" xfId="0" applyFont="1" applyFill="1" applyBorder="1"/>
    <xf numFmtId="0" fontId="0" fillId="0" borderId="16" xfId="0" applyBorder="1" applyAlignment="1">
      <alignment horizontal="left" vertical="center" wrapText="1"/>
    </xf>
    <xf numFmtId="9" fontId="0" fillId="0" borderId="0" xfId="0" applyNumberFormat="1"/>
    <xf numFmtId="0" fontId="0" fillId="2" borderId="16" xfId="0" applyFill="1" applyBorder="1" applyAlignment="1">
      <alignment vertical="center" wrapText="1"/>
    </xf>
    <xf numFmtId="0" fontId="0" fillId="5" borderId="16" xfId="0" applyFill="1" applyBorder="1" applyAlignment="1">
      <alignment horizontal="left" vertical="center" wrapText="1"/>
    </xf>
    <xf numFmtId="0" fontId="0" fillId="5" borderId="16" xfId="0" applyFill="1" applyBorder="1"/>
    <xf numFmtId="0" fontId="0" fillId="2" borderId="18" xfId="0" applyFill="1" applyBorder="1" applyAlignment="1">
      <alignment vertical="center" wrapText="1"/>
    </xf>
    <xf numFmtId="0" fontId="0" fillId="5" borderId="18" xfId="0" applyFill="1" applyBorder="1" applyAlignment="1">
      <alignment horizontal="left" vertical="center"/>
    </xf>
    <xf numFmtId="164" fontId="7" fillId="2" borderId="12" xfId="1" applyNumberFormat="1" applyFont="1" applyFill="1" applyBorder="1" applyAlignment="1">
      <alignment horizontal="center" vertical="center" wrapText="1"/>
    </xf>
    <xf numFmtId="0" fontId="0" fillId="0" borderId="16" xfId="0" applyBorder="1" applyAlignment="1">
      <alignment horizontal="center" vertical="center"/>
    </xf>
    <xf numFmtId="0" fontId="6" fillId="2" borderId="3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3" borderId="5" xfId="0" applyFont="1" applyFill="1" applyBorder="1"/>
    <xf numFmtId="0" fontId="3" fillId="3" borderId="7" xfId="0" applyFont="1" applyFill="1" applyBorder="1"/>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18" xfId="0" applyFont="1" applyFill="1" applyBorder="1"/>
    <xf numFmtId="0" fontId="0" fillId="0" borderId="18" xfId="0" applyBorder="1" applyAlignment="1">
      <alignment horizontal="left" vertical="center" wrapText="1"/>
    </xf>
    <xf numFmtId="0" fontId="6" fillId="7" borderId="4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21" xfId="0" applyBorder="1" applyAlignment="1">
      <alignment horizontal="center" vertical="center"/>
    </xf>
    <xf numFmtId="0" fontId="3" fillId="3" borderId="2" xfId="0" applyFont="1" applyFill="1" applyBorder="1"/>
    <xf numFmtId="0" fontId="3" fillId="3" borderId="53" xfId="0" applyFont="1" applyFill="1" applyBorder="1"/>
    <xf numFmtId="0" fontId="3" fillId="3" borderId="2"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0" fillId="0" borderId="18" xfId="0" applyBorder="1" applyAlignment="1">
      <alignment horizontal="left" vertical="center" wrapText="1"/>
    </xf>
    <xf numFmtId="0" fontId="0" fillId="9" borderId="29" xfId="0" applyFill="1" applyBorder="1" applyAlignment="1" applyProtection="1">
      <alignment horizontal="center" vertical="center"/>
      <protection hidden="1"/>
    </xf>
    <xf numFmtId="0" fontId="0" fillId="10" borderId="16" xfId="0" applyFill="1" applyBorder="1" applyAlignment="1" applyProtection="1">
      <alignment horizontal="center" vertical="center" wrapText="1"/>
      <protection hidden="1"/>
    </xf>
    <xf numFmtId="0" fontId="0" fillId="13" borderId="16" xfId="0" applyFill="1" applyBorder="1" applyAlignment="1" applyProtection="1">
      <alignment horizontal="center" vertical="center"/>
      <protection hidden="1"/>
    </xf>
    <xf numFmtId="0" fontId="10" fillId="13" borderId="16" xfId="0" applyFont="1" applyFill="1" applyBorder="1" applyAlignment="1" applyProtection="1">
      <alignment horizontal="center" vertical="center"/>
      <protection hidden="1"/>
    </xf>
    <xf numFmtId="0" fontId="10" fillId="13" borderId="27" xfId="0" applyFont="1" applyFill="1" applyBorder="1" applyAlignment="1" applyProtection="1">
      <alignment horizontal="center" vertical="center"/>
      <protection hidden="1"/>
    </xf>
    <xf numFmtId="0" fontId="0" fillId="14" borderId="16" xfId="0" applyFill="1" applyBorder="1" applyAlignment="1" applyProtection="1">
      <alignment horizontal="center" vertical="center" wrapText="1"/>
      <protection hidden="1"/>
    </xf>
    <xf numFmtId="44" fontId="0" fillId="15" borderId="16" xfId="0" applyNumberFormat="1" applyFill="1" applyBorder="1" applyAlignment="1" applyProtection="1">
      <alignment horizontal="center" vertical="center" wrapText="1"/>
      <protection hidden="1"/>
    </xf>
    <xf numFmtId="0" fontId="10" fillId="16" borderId="16" xfId="0" applyFont="1" applyFill="1" applyBorder="1" applyAlignment="1" applyProtection="1">
      <alignment horizontal="center" vertical="center" wrapText="1"/>
      <protection hidden="1"/>
    </xf>
    <xf numFmtId="0" fontId="0" fillId="16" borderId="16" xfId="0" applyFill="1" applyBorder="1" applyAlignment="1" applyProtection="1">
      <alignment horizontal="center" vertical="center" wrapText="1"/>
      <protection hidden="1"/>
    </xf>
    <xf numFmtId="0" fontId="0" fillId="0" borderId="16" xfId="0" applyBorder="1" applyProtection="1">
      <protection hidden="1"/>
    </xf>
    <xf numFmtId="0" fontId="0" fillId="0" borderId="32" xfId="0" applyBorder="1" applyProtection="1">
      <protection hidden="1"/>
    </xf>
    <xf numFmtId="0" fontId="0" fillId="0" borderId="29" xfId="0" applyBorder="1" applyProtection="1">
      <protection hidden="1"/>
    </xf>
    <xf numFmtId="44" fontId="0" fillId="0" borderId="16" xfId="2" applyFont="1" applyBorder="1" applyProtection="1">
      <protection hidden="1"/>
    </xf>
    <xf numFmtId="44" fontId="0" fillId="0" borderId="16" xfId="2" applyFont="1" applyBorder="1" applyProtection="1">
      <protection locked="0"/>
    </xf>
    <xf numFmtId="166" fontId="0" fillId="0" borderId="16" xfId="0" applyNumberFormat="1" applyBorder="1"/>
    <xf numFmtId="0" fontId="12" fillId="17" borderId="16" xfId="5" applyFont="1" applyFill="1" applyBorder="1" applyAlignment="1">
      <alignment horizontal="center"/>
    </xf>
    <xf numFmtId="0" fontId="0" fillId="0" borderId="16" xfId="0" applyFill="1" applyBorder="1"/>
    <xf numFmtId="49" fontId="0" fillId="0" borderId="16" xfId="0" applyNumberFormat="1" applyBorder="1"/>
    <xf numFmtId="49" fontId="0" fillId="0" borderId="16" xfId="0" applyNumberFormat="1" applyFill="1" applyBorder="1"/>
    <xf numFmtId="0" fontId="12" fillId="17" borderId="27" xfId="5" applyFont="1" applyFill="1" applyBorder="1" applyAlignment="1">
      <alignment horizontal="center"/>
    </xf>
    <xf numFmtId="0" fontId="8" fillId="0" borderId="16" xfId="5" applyBorder="1"/>
    <xf numFmtId="3" fontId="0" fillId="0" borderId="29" xfId="0" applyNumberFormat="1" applyBorder="1" applyProtection="1">
      <protection hidden="1"/>
    </xf>
    <xf numFmtId="2" fontId="0" fillId="0" borderId="16" xfId="0" applyNumberFormat="1" applyBorder="1"/>
    <xf numFmtId="164" fontId="7" fillId="2" borderId="13" xfId="1" applyNumberFormat="1" applyFont="1" applyFill="1" applyBorder="1" applyAlignment="1">
      <alignment horizontal="center" vertical="center" wrapText="1"/>
    </xf>
    <xf numFmtId="164" fontId="3" fillId="3" borderId="1" xfId="1" applyNumberFormat="1" applyFont="1" applyFill="1" applyBorder="1" applyAlignment="1"/>
    <xf numFmtId="164" fontId="3" fillId="3" borderId="43" xfId="1" applyNumberFormat="1" applyFont="1" applyFill="1" applyBorder="1" applyAlignment="1"/>
    <xf numFmtId="0" fontId="0" fillId="2" borderId="32" xfId="0" applyFill="1" applyBorder="1" applyAlignment="1">
      <alignment vertical="center" wrapText="1"/>
    </xf>
    <xf numFmtId="0" fontId="3" fillId="3" borderId="32" xfId="0" applyFont="1" applyFill="1" applyBorder="1"/>
    <xf numFmtId="0" fontId="3" fillId="3" borderId="38" xfId="0" applyFont="1" applyFill="1" applyBorder="1"/>
    <xf numFmtId="0" fontId="7" fillId="2" borderId="26" xfId="0" applyFont="1" applyFill="1" applyBorder="1" applyAlignment="1">
      <alignment horizontal="center" vertical="center" wrapText="1"/>
    </xf>
    <xf numFmtId="164" fontId="7" fillId="2" borderId="27" xfId="1" applyNumberFormat="1" applyFont="1" applyFill="1" applyBorder="1" applyAlignment="1">
      <alignment horizontal="center" vertical="center" wrapText="1"/>
    </xf>
    <xf numFmtId="164" fontId="7" fillId="2" borderId="28" xfId="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0" fillId="0" borderId="16" xfId="0" applyBorder="1" applyAlignment="1">
      <alignment wrapText="1"/>
    </xf>
    <xf numFmtId="164" fontId="0" fillId="0" borderId="16" xfId="1" applyNumberFormat="1" applyFont="1" applyBorder="1"/>
    <xf numFmtId="9" fontId="0" fillId="0" borderId="16" xfId="3" applyFont="1" applyBorder="1"/>
    <xf numFmtId="0" fontId="0" fillId="8" borderId="16" xfId="0" applyFill="1" applyBorder="1" applyAlignment="1">
      <alignment wrapText="1"/>
    </xf>
    <xf numFmtId="164" fontId="0" fillId="8" borderId="16" xfId="1" applyNumberFormat="1" applyFont="1" applyFill="1" applyBorder="1"/>
    <xf numFmtId="9" fontId="0" fillId="8" borderId="16" xfId="3" applyFont="1" applyFill="1" applyBorder="1"/>
    <xf numFmtId="10" fontId="0" fillId="0" borderId="16" xfId="3" applyNumberFormat="1" applyFont="1" applyBorder="1" applyAlignment="1">
      <alignment horizontal="center" vertical="center"/>
    </xf>
    <xf numFmtId="0" fontId="7" fillId="2" borderId="5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0" borderId="47" xfId="0" applyFont="1" applyBorder="1" applyAlignment="1">
      <alignment horizontal="center" wrapText="1"/>
    </xf>
    <xf numFmtId="0" fontId="3" fillId="0" borderId="38" xfId="0" applyFont="1" applyBorder="1" applyAlignment="1">
      <alignment horizontal="center" wrapText="1"/>
    </xf>
    <xf numFmtId="0" fontId="3" fillId="0" borderId="1" xfId="0" applyFont="1" applyBorder="1" applyAlignment="1">
      <alignment horizontal="center" wrapText="1"/>
    </xf>
    <xf numFmtId="0" fontId="0" fillId="18" borderId="0" xfId="0" applyFill="1"/>
    <xf numFmtId="0" fontId="0" fillId="18" borderId="46" xfId="0" applyFill="1" applyBorder="1"/>
    <xf numFmtId="0" fontId="0" fillId="18" borderId="37" xfId="0" applyFill="1" applyBorder="1"/>
    <xf numFmtId="0" fontId="0" fillId="0" borderId="46" xfId="0" applyBorder="1"/>
    <xf numFmtId="0" fontId="0" fillId="0" borderId="37" xfId="0" applyBorder="1"/>
    <xf numFmtId="0" fontId="3" fillId="0" borderId="25" xfId="0" applyFont="1" applyBorder="1"/>
    <xf numFmtId="0" fontId="0" fillId="0" borderId="57" xfId="0" applyBorder="1"/>
    <xf numFmtId="0" fontId="3" fillId="0" borderId="48" xfId="0" applyFont="1" applyBorder="1"/>
    <xf numFmtId="0" fontId="7" fillId="2" borderId="6" xfId="0" applyFont="1" applyFill="1" applyBorder="1" applyAlignment="1">
      <alignment horizontal="center" vertical="center" wrapText="1"/>
    </xf>
    <xf numFmtId="0" fontId="15" fillId="7" borderId="18"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0" fillId="0" borderId="12" xfId="0" applyBorder="1"/>
    <xf numFmtId="10" fontId="0" fillId="0" borderId="12" xfId="0" applyNumberFormat="1" applyBorder="1" applyAlignment="1">
      <alignment horizontal="center" vertical="center"/>
    </xf>
    <xf numFmtId="164" fontId="7" fillId="0" borderId="0" xfId="1" applyNumberFormat="1" applyFont="1" applyFill="1" applyBorder="1" applyAlignment="1">
      <alignment horizontal="center" vertical="center" wrapText="1"/>
    </xf>
    <xf numFmtId="3" fontId="0" fillId="0" borderId="0" xfId="0" applyNumberFormat="1"/>
    <xf numFmtId="10" fontId="0" fillId="0" borderId="0" xfId="0" applyNumberFormat="1"/>
    <xf numFmtId="0" fontId="0" fillId="0" borderId="0" xfId="0" applyAlignment="1">
      <alignment wrapText="1"/>
    </xf>
    <xf numFmtId="0" fontId="16" fillId="0" borderId="0" xfId="0" applyFont="1"/>
    <xf numFmtId="164" fontId="0" fillId="0" borderId="0" xfId="0" applyNumberFormat="1"/>
    <xf numFmtId="164" fontId="1" fillId="0" borderId="0" xfId="1" applyNumberFormat="1" applyFont="1" applyFill="1" applyBorder="1"/>
    <xf numFmtId="164" fontId="7" fillId="2" borderId="16" xfId="1" applyNumberFormat="1" applyFont="1" applyFill="1" applyBorder="1" applyAlignment="1">
      <alignment horizontal="center" vertical="center" wrapText="1"/>
    </xf>
    <xf numFmtId="0" fontId="0" fillId="0" borderId="32" xfId="0" applyBorder="1" applyAlignment="1">
      <alignment wrapText="1"/>
    </xf>
    <xf numFmtId="0" fontId="0" fillId="5" borderId="32" xfId="0" applyFill="1" applyBorder="1" applyAlignment="1">
      <alignment wrapText="1"/>
    </xf>
    <xf numFmtId="0" fontId="0" fillId="8" borderId="32" xfId="0" applyFill="1" applyBorder="1" applyAlignment="1">
      <alignment wrapText="1"/>
    </xf>
    <xf numFmtId="9" fontId="1" fillId="0" borderId="0" xfId="3" applyFont="1" applyFill="1" applyBorder="1"/>
    <xf numFmtId="0" fontId="3" fillId="0" borderId="0" xfId="0" applyFont="1"/>
    <xf numFmtId="0" fontId="18" fillId="5" borderId="0" xfId="6" applyFont="1" applyFill="1"/>
    <xf numFmtId="0" fontId="17" fillId="5" borderId="0" xfId="6" applyFill="1"/>
    <xf numFmtId="0" fontId="17" fillId="5" borderId="0" xfId="6" applyFill="1" applyAlignment="1">
      <alignment horizontal="center"/>
    </xf>
    <xf numFmtId="0" fontId="17" fillId="0" borderId="0" xfId="6"/>
    <xf numFmtId="0" fontId="19" fillId="5" borderId="0" xfId="6" applyFont="1" applyFill="1"/>
    <xf numFmtId="0" fontId="19" fillId="5" borderId="0" xfId="6" applyFont="1" applyFill="1" applyAlignment="1">
      <alignment horizontal="center"/>
    </xf>
    <xf numFmtId="0" fontId="17" fillId="5" borderId="0" xfId="6" applyFill="1" applyAlignment="1">
      <alignment horizontal="center" vertical="center" wrapText="1"/>
    </xf>
    <xf numFmtId="0" fontId="21" fillId="20" borderId="60" xfId="6" applyFont="1" applyFill="1" applyBorder="1" applyAlignment="1">
      <alignment horizontal="center" vertical="center" wrapText="1"/>
    </xf>
    <xf numFmtId="0" fontId="21" fillId="20" borderId="61" xfId="6" applyFont="1" applyFill="1" applyBorder="1" applyAlignment="1">
      <alignment horizontal="center" vertical="center" wrapText="1"/>
    </xf>
    <xf numFmtId="0" fontId="21" fillId="20" borderId="62" xfId="6" applyFont="1" applyFill="1" applyBorder="1" applyAlignment="1">
      <alignment horizontal="center" vertical="center" wrapText="1"/>
    </xf>
    <xf numFmtId="0" fontId="21" fillId="4" borderId="63" xfId="0" applyFont="1" applyFill="1" applyBorder="1" applyAlignment="1">
      <alignment horizontal="center" vertical="center" wrapText="1"/>
    </xf>
    <xf numFmtId="0" fontId="21" fillId="4" borderId="64" xfId="0" applyFont="1" applyFill="1" applyBorder="1" applyAlignment="1">
      <alignment horizontal="center" vertical="center" wrapText="1"/>
    </xf>
    <xf numFmtId="0" fontId="22" fillId="20" borderId="61" xfId="6" applyFont="1" applyFill="1" applyBorder="1" applyAlignment="1">
      <alignment horizontal="center" vertical="center" wrapText="1"/>
    </xf>
    <xf numFmtId="0" fontId="22" fillId="20" borderId="65" xfId="6" applyFont="1" applyFill="1" applyBorder="1" applyAlignment="1">
      <alignment horizontal="center" vertical="center" wrapText="1"/>
    </xf>
    <xf numFmtId="0" fontId="17" fillId="0" borderId="0" xfId="6" applyAlignment="1">
      <alignment horizontal="center" vertical="center" wrapText="1"/>
    </xf>
    <xf numFmtId="0" fontId="21" fillId="20" borderId="66" xfId="6" applyFont="1" applyFill="1" applyBorder="1" applyAlignment="1">
      <alignment horizontal="center" vertical="center" wrapText="1"/>
    </xf>
    <xf numFmtId="0" fontId="21" fillId="20" borderId="67" xfId="6" applyFont="1" applyFill="1" applyBorder="1" applyAlignment="1">
      <alignment horizontal="center" vertical="center" wrapText="1"/>
    </xf>
    <xf numFmtId="0" fontId="22" fillId="20" borderId="67" xfId="6" applyFont="1" applyFill="1" applyBorder="1" applyAlignment="1">
      <alignment horizontal="center" vertical="center" wrapText="1"/>
    </xf>
    <xf numFmtId="0" fontId="22" fillId="20" borderId="67" xfId="6" quotePrefix="1" applyFont="1" applyFill="1" applyBorder="1" applyAlignment="1">
      <alignment horizontal="center" vertical="center" wrapText="1"/>
    </xf>
    <xf numFmtId="0" fontId="22" fillId="20" borderId="65" xfId="6" quotePrefix="1" applyFont="1" applyFill="1" applyBorder="1" applyAlignment="1">
      <alignment horizontal="center" vertical="center" wrapText="1"/>
    </xf>
    <xf numFmtId="0" fontId="21" fillId="5" borderId="66" xfId="6" applyFont="1" applyFill="1" applyBorder="1" applyAlignment="1">
      <alignment horizontal="center" vertical="center" wrapText="1"/>
    </xf>
    <xf numFmtId="0" fontId="21" fillId="5" borderId="67" xfId="6" applyFont="1" applyFill="1" applyBorder="1" applyAlignment="1">
      <alignment horizontal="center" vertical="center" wrapText="1"/>
    </xf>
    <xf numFmtId="0" fontId="21" fillId="5" borderId="67" xfId="6" quotePrefix="1" applyFont="1" applyFill="1" applyBorder="1" applyAlignment="1">
      <alignment horizontal="center" vertical="center" wrapText="1"/>
    </xf>
    <xf numFmtId="0" fontId="22" fillId="5" borderId="67" xfId="6" quotePrefix="1" applyFont="1" applyFill="1" applyBorder="1" applyAlignment="1">
      <alignment horizontal="center" vertical="center" wrapText="1"/>
    </xf>
    <xf numFmtId="0" fontId="22" fillId="5" borderId="65" xfId="6" applyFont="1" applyFill="1" applyBorder="1" applyAlignment="1">
      <alignment horizontal="center" vertical="center" wrapText="1"/>
    </xf>
    <xf numFmtId="0" fontId="21" fillId="0" borderId="66" xfId="6" applyFont="1" applyBorder="1" applyAlignment="1">
      <alignment horizontal="center"/>
    </xf>
    <xf numFmtId="0" fontId="21" fillId="0" borderId="67" xfId="6" applyFont="1" applyBorder="1" applyAlignment="1">
      <alignment horizontal="center"/>
    </xf>
    <xf numFmtId="3" fontId="22" fillId="0" borderId="68" xfId="6" applyNumberFormat="1" applyFont="1" applyBorder="1" applyAlignment="1">
      <alignment horizontal="center"/>
    </xf>
    <xf numFmtId="43" fontId="17" fillId="0" borderId="0" xfId="1" applyFont="1"/>
    <xf numFmtId="0" fontId="21" fillId="0" borderId="66" xfId="6" applyFont="1" applyBorder="1" applyAlignment="1">
      <alignment horizontal="right"/>
    </xf>
    <xf numFmtId="0" fontId="21" fillId="0" borderId="69" xfId="6" applyFont="1" applyBorder="1" applyAlignment="1">
      <alignment horizontal="center"/>
    </xf>
    <xf numFmtId="0" fontId="21" fillId="0" borderId="70" xfId="6" applyFont="1" applyBorder="1" applyAlignment="1">
      <alignment horizontal="center"/>
    </xf>
    <xf numFmtId="0" fontId="21" fillId="5" borderId="0" xfId="6" applyFont="1" applyFill="1" applyAlignment="1">
      <alignment horizontal="right"/>
    </xf>
    <xf numFmtId="0" fontId="21" fillId="5" borderId="0" xfId="6" applyFont="1" applyFill="1" applyAlignment="1">
      <alignment horizontal="center"/>
    </xf>
    <xf numFmtId="164" fontId="23" fillId="5" borderId="0" xfId="1" applyNumberFormat="1" applyFont="1" applyFill="1" applyBorder="1" applyAlignment="1">
      <alignment horizontal="center" vertical="center"/>
    </xf>
    <xf numFmtId="164" fontId="23" fillId="5" borderId="0" xfId="1" applyNumberFormat="1" applyFont="1" applyFill="1" applyBorder="1" applyAlignment="1">
      <alignment horizontal="center" vertical="center" wrapText="1"/>
    </xf>
    <xf numFmtId="164" fontId="23" fillId="5" borderId="0" xfId="1" applyNumberFormat="1" applyFont="1" applyFill="1" applyBorder="1" applyAlignment="1">
      <alignment horizontal="right"/>
    </xf>
    <xf numFmtId="3" fontId="22" fillId="5" borderId="0" xfId="6" applyNumberFormat="1" applyFont="1" applyFill="1" applyAlignment="1">
      <alignment horizontal="center"/>
    </xf>
    <xf numFmtId="0" fontId="22" fillId="5" borderId="0" xfId="6" applyFont="1" applyFill="1"/>
    <xf numFmtId="0" fontId="10" fillId="5" borderId="0" xfId="6" applyFont="1" applyFill="1" applyAlignment="1">
      <alignment horizontal="center"/>
    </xf>
    <xf numFmtId="0" fontId="10" fillId="5" borderId="0" xfId="6" applyFont="1" applyFill="1"/>
    <xf numFmtId="0" fontId="24" fillId="5" borderId="0" xfId="0" applyFont="1" applyFill="1" applyAlignment="1">
      <alignment horizontal="left" vertical="center" readingOrder="1"/>
    </xf>
    <xf numFmtId="0" fontId="26" fillId="0" borderId="0" xfId="7" applyFont="1"/>
    <xf numFmtId="0" fontId="25" fillId="0" borderId="0" xfId="7"/>
    <xf numFmtId="0" fontId="25" fillId="0" borderId="0" xfId="7" applyAlignment="1">
      <alignment vertical="top"/>
    </xf>
    <xf numFmtId="0" fontId="29" fillId="0" borderId="0" xfId="0" applyFont="1"/>
    <xf numFmtId="164" fontId="0" fillId="0" borderId="16"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30" fillId="0" borderId="0" xfId="7" applyFont="1" applyBorder="1" applyAlignment="1">
      <alignment vertical="center"/>
    </xf>
    <xf numFmtId="0" fontId="30" fillId="0" borderId="21" xfId="7" applyFont="1" applyBorder="1" applyAlignment="1">
      <alignment vertical="center"/>
    </xf>
    <xf numFmtId="0" fontId="30" fillId="0" borderId="21" xfId="7" applyFont="1" applyBorder="1" applyAlignment="1">
      <alignment horizontal="center" vertical="center"/>
    </xf>
    <xf numFmtId="0" fontId="30" fillId="0" borderId="0" xfId="7" applyFont="1" applyBorder="1" applyAlignment="1">
      <alignment horizontal="center" vertical="center"/>
    </xf>
    <xf numFmtId="0" fontId="25" fillId="0" borderId="16" xfId="7" applyBorder="1"/>
    <xf numFmtId="0" fontId="25" fillId="0" borderId="0" xfId="7" applyBorder="1"/>
    <xf numFmtId="0" fontId="0" fillId="0" borderId="47" xfId="0" applyBorder="1"/>
    <xf numFmtId="0" fontId="0" fillId="0" borderId="1" xfId="0" applyBorder="1"/>
    <xf numFmtId="0" fontId="3" fillId="18" borderId="46" xfId="0" applyFont="1" applyFill="1" applyBorder="1"/>
    <xf numFmtId="0" fontId="0" fillId="0" borderId="44" xfId="0" applyBorder="1"/>
    <xf numFmtId="0" fontId="19" fillId="0" borderId="0" xfId="6" applyFont="1" applyFill="1"/>
    <xf numFmtId="0" fontId="0" fillId="0" borderId="0" xfId="0" applyFill="1"/>
    <xf numFmtId="0" fontId="0" fillId="0" borderId="29" xfId="0" applyFill="1" applyBorder="1" applyProtection="1">
      <protection hidden="1"/>
    </xf>
    <xf numFmtId="0" fontId="0" fillId="0" borderId="16" xfId="0" applyFont="1" applyFill="1" applyBorder="1"/>
    <xf numFmtId="44" fontId="0" fillId="0" borderId="16" xfId="2" applyFont="1" applyFill="1" applyBorder="1" applyProtection="1">
      <protection hidden="1"/>
    </xf>
    <xf numFmtId="0" fontId="0" fillId="0" borderId="16" xfId="0" applyFill="1" applyBorder="1" applyProtection="1">
      <protection hidden="1"/>
    </xf>
    <xf numFmtId="0" fontId="3" fillId="0" borderId="29" xfId="0" applyFont="1" applyFill="1" applyBorder="1" applyProtection="1">
      <protection hidden="1"/>
    </xf>
    <xf numFmtId="0" fontId="31" fillId="0" borderId="0" xfId="0" applyFont="1" applyAlignment="1">
      <alignment vertical="center"/>
    </xf>
    <xf numFmtId="3" fontId="0" fillId="0" borderId="16" xfId="0" applyNumberFormat="1" applyBorder="1"/>
    <xf numFmtId="3" fontId="0" fillId="0" borderId="9" xfId="0" applyNumberFormat="1" applyBorder="1"/>
    <xf numFmtId="1" fontId="0" fillId="0" borderId="12" xfId="0" applyNumberFormat="1" applyBorder="1"/>
    <xf numFmtId="3" fontId="0" fillId="0" borderId="12" xfId="0" applyNumberFormat="1" applyBorder="1"/>
    <xf numFmtId="41" fontId="0" fillId="0" borderId="12" xfId="0" applyNumberFormat="1" applyBorder="1"/>
    <xf numFmtId="41" fontId="0" fillId="0" borderId="12" xfId="0" applyNumberFormat="1" applyBorder="1" applyAlignment="1">
      <alignment horizontal="center" vertical="center"/>
    </xf>
    <xf numFmtId="9" fontId="0" fillId="0" borderId="10" xfId="0" applyNumberFormat="1" applyBorder="1" applyAlignment="1">
      <alignment horizontal="center" vertical="center"/>
    </xf>
    <xf numFmtId="0" fontId="0" fillId="21" borderId="16" xfId="0" applyFill="1" applyBorder="1" applyAlignment="1">
      <alignment wrapText="1"/>
    </xf>
    <xf numFmtId="165" fontId="0" fillId="21" borderId="16" xfId="2" applyNumberFormat="1" applyFont="1" applyFill="1" applyBorder="1"/>
    <xf numFmtId="10" fontId="0" fillId="21" borderId="16" xfId="3" applyNumberFormat="1" applyFont="1" applyFill="1" applyBorder="1" applyAlignment="1">
      <alignment horizontal="center" vertical="center"/>
    </xf>
    <xf numFmtId="0" fontId="33" fillId="0" borderId="16" xfId="0" applyFont="1" applyBorder="1" applyAlignment="1">
      <alignment wrapText="1"/>
    </xf>
    <xf numFmtId="1" fontId="0" fillId="0" borderId="16" xfId="0" applyNumberFormat="1" applyBorder="1"/>
    <xf numFmtId="3" fontId="0" fillId="0" borderId="18" xfId="0" applyNumberFormat="1" applyBorder="1"/>
    <xf numFmtId="41" fontId="0" fillId="22" borderId="16" xfId="0" applyNumberFormat="1" applyFill="1" applyBorder="1"/>
    <xf numFmtId="10" fontId="0" fillId="22" borderId="16" xfId="0" applyNumberFormat="1" applyFill="1" applyBorder="1" applyAlignment="1">
      <alignment horizontal="center" vertical="center"/>
    </xf>
    <xf numFmtId="41" fontId="0" fillId="22" borderId="16" xfId="0" applyNumberFormat="1" applyFill="1" applyBorder="1" applyAlignment="1">
      <alignment horizontal="center" vertical="center"/>
    </xf>
    <xf numFmtId="9" fontId="0" fillId="22" borderId="17" xfId="0" applyNumberFormat="1" applyFill="1" applyBorder="1" applyAlignment="1">
      <alignment horizontal="center" vertical="center"/>
    </xf>
    <xf numFmtId="9" fontId="0" fillId="0" borderId="16" xfId="0" applyNumberFormat="1" applyBorder="1"/>
    <xf numFmtId="0" fontId="0" fillId="0" borderId="16" xfId="0" applyBorder="1" applyAlignment="1">
      <alignment horizontal="center" wrapText="1"/>
    </xf>
    <xf numFmtId="164" fontId="7" fillId="2" borderId="49" xfId="1" applyNumberFormat="1" applyFont="1" applyFill="1" applyBorder="1" applyAlignment="1">
      <alignment horizontal="center" vertical="center" wrapText="1"/>
    </xf>
    <xf numFmtId="0" fontId="7" fillId="2" borderId="42" xfId="0" applyFont="1" applyFill="1" applyBorder="1" applyAlignment="1">
      <alignment horizontal="center" vertical="center" wrapText="1"/>
    </xf>
    <xf numFmtId="0" fontId="0" fillId="0" borderId="74" xfId="0" applyBorder="1" applyAlignment="1">
      <alignment wrapText="1"/>
    </xf>
    <xf numFmtId="0" fontId="0" fillId="0" borderId="75" xfId="0" applyBorder="1" applyAlignment="1">
      <alignment wrapText="1"/>
    </xf>
    <xf numFmtId="164" fontId="7" fillId="2" borderId="30" xfId="1" applyNumberFormat="1" applyFont="1" applyFill="1" applyBorder="1" applyAlignment="1">
      <alignment horizontal="center" vertical="center" wrapText="1"/>
    </xf>
    <xf numFmtId="167" fontId="0" fillId="0" borderId="46" xfId="0" applyNumberFormat="1" applyBorder="1"/>
    <xf numFmtId="167" fontId="0" fillId="0" borderId="0" xfId="0" applyNumberFormat="1"/>
    <xf numFmtId="167" fontId="0" fillId="0" borderId="37" xfId="0" applyNumberFormat="1" applyBorder="1"/>
    <xf numFmtId="0" fontId="3" fillId="0" borderId="0" xfId="0" applyFont="1" applyFill="1" applyBorder="1"/>
    <xf numFmtId="43" fontId="3" fillId="5" borderId="0" xfId="1" applyNumberFormat="1" applyFont="1" applyFill="1" applyBorder="1" applyAlignment="1"/>
    <xf numFmtId="43" fontId="3" fillId="0" borderId="0" xfId="1" applyNumberFormat="1" applyFont="1" applyFill="1" applyBorder="1" applyAlignment="1"/>
    <xf numFmtId="43" fontId="0" fillId="0" borderId="0" xfId="0" applyNumberFormat="1" applyAlignment="1">
      <alignment vertical="center" wrapText="1"/>
    </xf>
    <xf numFmtId="43" fontId="0" fillId="0" borderId="0" xfId="1" applyNumberFormat="1" applyFont="1" applyFill="1" applyBorder="1" applyAlignment="1">
      <alignment horizontal="right"/>
    </xf>
    <xf numFmtId="9" fontId="0" fillId="8" borderId="16" xfId="2" applyNumberFormat="1" applyFont="1" applyFill="1" applyBorder="1"/>
    <xf numFmtId="0" fontId="0" fillId="0" borderId="14" xfId="0" applyFill="1" applyBorder="1" applyAlignment="1">
      <alignment wrapText="1"/>
    </xf>
    <xf numFmtId="0" fontId="0" fillId="0" borderId="0" xfId="0" applyFill="1" applyBorder="1" applyAlignment="1">
      <alignment wrapText="1"/>
    </xf>
    <xf numFmtId="0" fontId="0" fillId="0" borderId="76" xfId="0" applyFill="1" applyBorder="1" applyAlignment="1">
      <alignment wrapText="1"/>
    </xf>
    <xf numFmtId="43" fontId="0" fillId="0" borderId="0" xfId="0" applyNumberFormat="1"/>
    <xf numFmtId="44" fontId="0" fillId="0" borderId="0" xfId="0" applyNumberFormat="1"/>
    <xf numFmtId="0" fontId="3" fillId="0" borderId="16" xfId="0" applyFont="1" applyBorder="1" applyAlignment="1">
      <alignment wrapText="1"/>
    </xf>
    <xf numFmtId="0" fontId="0" fillId="0" borderId="16" xfId="0" applyFont="1" applyBorder="1" applyAlignment="1">
      <alignment wrapText="1"/>
    </xf>
    <xf numFmtId="0" fontId="0" fillId="0" borderId="32" xfId="0" applyBorder="1" applyAlignment="1">
      <alignment horizontal="left" vertical="center" wrapText="1"/>
    </xf>
    <xf numFmtId="0" fontId="0" fillId="0" borderId="32" xfId="0" applyBorder="1"/>
    <xf numFmtId="0" fontId="0" fillId="5" borderId="31" xfId="0" applyFill="1" applyBorder="1"/>
    <xf numFmtId="0" fontId="0" fillId="5" borderId="73" xfId="0" applyFill="1" applyBorder="1"/>
    <xf numFmtId="3" fontId="0" fillId="0" borderId="21" xfId="0" applyNumberFormat="1" applyBorder="1" applyAlignment="1">
      <alignment horizontal="center" vertical="center"/>
    </xf>
    <xf numFmtId="3" fontId="10" fillId="0" borderId="16" xfId="0" applyNumberFormat="1" applyFont="1" applyBorder="1" applyAlignment="1">
      <alignment horizontal="center" vertical="center"/>
    </xf>
    <xf numFmtId="3" fontId="0" fillId="0" borderId="17" xfId="0" applyNumberFormat="1" applyBorder="1" applyAlignment="1">
      <alignment horizontal="center" vertical="center"/>
    </xf>
    <xf numFmtId="3" fontId="0" fillId="0" borderId="22" xfId="0" applyNumberFormat="1" applyBorder="1" applyAlignment="1">
      <alignment horizontal="center" vertical="center"/>
    </xf>
    <xf numFmtId="42" fontId="2" fillId="0" borderId="0" xfId="0" applyNumberFormat="1" applyFont="1"/>
    <xf numFmtId="3" fontId="10"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0" fontId="0" fillId="5" borderId="32" xfId="0" applyFill="1" applyBorder="1" applyAlignment="1">
      <alignment horizontal="left" vertical="center" wrapText="1"/>
    </xf>
    <xf numFmtId="0" fontId="0" fillId="5" borderId="32" xfId="0" applyFill="1" applyBorder="1"/>
    <xf numFmtId="164" fontId="3" fillId="3" borderId="32" xfId="1" applyNumberFormat="1" applyFont="1" applyFill="1" applyBorder="1" applyAlignment="1"/>
    <xf numFmtId="0" fontId="3" fillId="3" borderId="41" xfId="0" applyFont="1" applyFill="1" applyBorder="1"/>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0" fontId="3" fillId="3" borderId="1" xfId="0" applyFont="1" applyFill="1" applyBorder="1"/>
    <xf numFmtId="5" fontId="0" fillId="0" borderId="16" xfId="2" applyNumberFormat="1" applyFont="1" applyBorder="1" applyAlignment="1">
      <alignment horizontal="center"/>
    </xf>
    <xf numFmtId="5" fontId="0" fillId="8" borderId="16" xfId="2" applyNumberFormat="1" applyFont="1" applyFill="1" applyBorder="1" applyAlignment="1">
      <alignment horizontal="center"/>
    </xf>
    <xf numFmtId="3" fontId="0" fillId="5" borderId="5" xfId="0" applyNumberFormat="1" applyFont="1" applyFill="1" applyBorder="1" applyAlignment="1">
      <alignment horizontal="center"/>
    </xf>
    <xf numFmtId="3" fontId="0" fillId="5" borderId="7" xfId="0" applyNumberFormat="1" applyFont="1" applyFill="1" applyBorder="1" applyAlignment="1">
      <alignment horizontal="center"/>
    </xf>
    <xf numFmtId="9" fontId="1" fillId="5" borderId="6" xfId="3" applyFont="1" applyFill="1" applyBorder="1" applyAlignment="1">
      <alignment horizontal="center"/>
    </xf>
    <xf numFmtId="167" fontId="1" fillId="5" borderId="39" xfId="2" applyNumberFormat="1" applyFont="1" applyFill="1" applyBorder="1" applyAlignment="1">
      <alignment horizontal="center"/>
    </xf>
    <xf numFmtId="167" fontId="0" fillId="5" borderId="7" xfId="0" applyNumberFormat="1" applyFont="1" applyFill="1" applyBorder="1" applyAlignment="1">
      <alignment horizontal="center"/>
    </xf>
    <xf numFmtId="3" fontId="0" fillId="5" borderId="21" xfId="0" applyNumberFormat="1" applyFont="1" applyFill="1" applyBorder="1" applyAlignment="1">
      <alignment horizontal="center"/>
    </xf>
    <xf numFmtId="4" fontId="0" fillId="5" borderId="7" xfId="0" applyNumberFormat="1" applyFont="1" applyFill="1" applyBorder="1" applyAlignment="1">
      <alignment horizontal="center"/>
    </xf>
    <xf numFmtId="3" fontId="0" fillId="5" borderId="8" xfId="0" applyNumberFormat="1" applyFont="1" applyFill="1" applyBorder="1" applyAlignment="1">
      <alignment horizontal="center"/>
    </xf>
    <xf numFmtId="3" fontId="0" fillId="5" borderId="20" xfId="0" applyNumberFormat="1" applyFont="1" applyFill="1" applyBorder="1" applyAlignment="1">
      <alignment horizontal="center"/>
    </xf>
    <xf numFmtId="9" fontId="1" fillId="5" borderId="15" xfId="3" applyFont="1" applyFill="1" applyBorder="1" applyAlignment="1">
      <alignment horizontal="center"/>
    </xf>
    <xf numFmtId="167" fontId="1" fillId="5" borderId="72" xfId="2" applyNumberFormat="1" applyFont="1" applyFill="1" applyBorder="1" applyAlignment="1">
      <alignment horizontal="center"/>
    </xf>
    <xf numFmtId="167" fontId="0" fillId="5" borderId="21" xfId="0" applyNumberFormat="1" applyFont="1" applyFill="1" applyBorder="1" applyAlignment="1">
      <alignment horizontal="center"/>
    </xf>
    <xf numFmtId="4" fontId="0" fillId="5" borderId="21" xfId="0" applyNumberFormat="1" applyFont="1" applyFill="1" applyBorder="1" applyAlignment="1">
      <alignment horizontal="center"/>
    </xf>
    <xf numFmtId="3" fontId="0" fillId="5" borderId="57" xfId="0" applyNumberFormat="1" applyFont="1" applyFill="1" applyBorder="1" applyAlignment="1">
      <alignment horizontal="center"/>
    </xf>
    <xf numFmtId="3" fontId="0" fillId="0" borderId="18" xfId="0" applyNumberFormat="1" applyBorder="1" applyAlignment="1">
      <alignment horizontal="center" vertical="center"/>
    </xf>
    <xf numFmtId="3" fontId="0" fillId="5" borderId="16" xfId="0" applyNumberFormat="1" applyFont="1" applyFill="1" applyBorder="1" applyAlignment="1">
      <alignment horizontal="center"/>
    </xf>
    <xf numFmtId="9" fontId="1" fillId="5" borderId="17" xfId="3" applyFont="1" applyFill="1" applyBorder="1" applyAlignment="1">
      <alignment horizontal="center"/>
    </xf>
    <xf numFmtId="167" fontId="0" fillId="0" borderId="29" xfId="2" applyNumberFormat="1" applyFont="1" applyBorder="1" applyAlignment="1">
      <alignment horizontal="center" vertical="center"/>
    </xf>
    <xf numFmtId="167" fontId="0" fillId="0" borderId="16" xfId="2" applyNumberFormat="1" applyFont="1" applyBorder="1" applyAlignment="1">
      <alignment horizontal="center" vertical="center"/>
    </xf>
    <xf numFmtId="167" fontId="0" fillId="5" borderId="16" xfId="0" applyNumberFormat="1" applyFont="1" applyFill="1" applyBorder="1" applyAlignment="1">
      <alignment horizontal="center"/>
    </xf>
    <xf numFmtId="3" fontId="0" fillId="5" borderId="18" xfId="0" applyNumberFormat="1" applyFont="1" applyFill="1" applyBorder="1" applyAlignment="1">
      <alignment horizontal="center"/>
    </xf>
    <xf numFmtId="3" fontId="0" fillId="0" borderId="16" xfId="0" applyNumberFormat="1" applyBorder="1" applyAlignment="1">
      <alignment horizontal="center" vertical="center"/>
    </xf>
    <xf numFmtId="4" fontId="0" fillId="5" borderId="16" xfId="0" applyNumberFormat="1" applyFont="1" applyFill="1" applyBorder="1" applyAlignment="1">
      <alignment horizontal="center"/>
    </xf>
    <xf numFmtId="3" fontId="0" fillId="5" borderId="25" xfId="0" applyNumberFormat="1" applyFont="1" applyFill="1" applyBorder="1" applyAlignment="1">
      <alignment horizontal="center"/>
    </xf>
    <xf numFmtId="9" fontId="1" fillId="5" borderId="22" xfId="3" applyFont="1" applyFill="1" applyBorder="1" applyAlignment="1">
      <alignment horizontal="center"/>
    </xf>
    <xf numFmtId="3" fontId="3" fillId="3" borderId="18" xfId="0" applyNumberFormat="1" applyFont="1" applyFill="1" applyBorder="1" applyAlignment="1">
      <alignment horizontal="center"/>
    </xf>
    <xf numFmtId="3" fontId="3" fillId="3" borderId="16" xfId="0" applyNumberFormat="1" applyFont="1" applyFill="1" applyBorder="1" applyAlignment="1">
      <alignment horizontal="center"/>
    </xf>
    <xf numFmtId="9" fontId="3" fillId="3" borderId="17" xfId="3" applyFont="1" applyFill="1" applyBorder="1" applyAlignment="1">
      <alignment horizontal="center"/>
    </xf>
    <xf numFmtId="167" fontId="3" fillId="3" borderId="29" xfId="2" applyNumberFormat="1" applyFont="1" applyFill="1" applyBorder="1" applyAlignment="1">
      <alignment horizontal="center"/>
    </xf>
    <xf numFmtId="167" fontId="3" fillId="3" borderId="16" xfId="2" applyNumberFormat="1" applyFont="1" applyFill="1" applyBorder="1" applyAlignment="1">
      <alignment horizontal="center"/>
    </xf>
    <xf numFmtId="167" fontId="3" fillId="3" borderId="16" xfId="0" applyNumberFormat="1" applyFont="1" applyFill="1" applyBorder="1" applyAlignment="1">
      <alignment horizontal="center"/>
    </xf>
    <xf numFmtId="9" fontId="3" fillId="3" borderId="16" xfId="3" applyFont="1" applyFill="1" applyBorder="1" applyAlignment="1">
      <alignment horizontal="center"/>
    </xf>
    <xf numFmtId="4" fontId="3" fillId="3" borderId="16" xfId="0" applyNumberFormat="1" applyFont="1" applyFill="1" applyBorder="1" applyAlignment="1">
      <alignment horizontal="center"/>
    </xf>
    <xf numFmtId="0" fontId="0" fillId="2" borderId="18"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167" fontId="0" fillId="2" borderId="29" xfId="0" applyNumberFormat="1" applyFill="1" applyBorder="1" applyAlignment="1">
      <alignment horizontal="center" vertical="center" wrapText="1"/>
    </xf>
    <xf numFmtId="167" fontId="0" fillId="2" borderId="16" xfId="0" applyNumberFormat="1" applyFill="1" applyBorder="1" applyAlignment="1">
      <alignment horizontal="center" vertical="center" wrapText="1"/>
    </xf>
    <xf numFmtId="3" fontId="0" fillId="2" borderId="16" xfId="0" applyNumberFormat="1" applyFill="1" applyBorder="1" applyAlignment="1">
      <alignment horizontal="center" vertical="center" wrapText="1"/>
    </xf>
    <xf numFmtId="0" fontId="0" fillId="2" borderId="25" xfId="0" applyFill="1" applyBorder="1" applyAlignment="1">
      <alignment horizontal="center" vertical="center" wrapText="1"/>
    </xf>
    <xf numFmtId="0" fontId="3" fillId="3" borderId="18"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167" fontId="3" fillId="3" borderId="29" xfId="0" applyNumberFormat="1" applyFont="1" applyFill="1" applyBorder="1" applyAlignment="1">
      <alignment horizontal="center"/>
    </xf>
    <xf numFmtId="164" fontId="3" fillId="3" borderId="16" xfId="1" applyNumberFormat="1" applyFont="1" applyFill="1" applyBorder="1" applyAlignment="1">
      <alignment horizontal="center"/>
    </xf>
    <xf numFmtId="3" fontId="3" fillId="3" borderId="16" xfId="1" applyNumberFormat="1" applyFont="1" applyFill="1" applyBorder="1" applyAlignment="1">
      <alignment horizontal="center"/>
    </xf>
    <xf numFmtId="164" fontId="3" fillId="3" borderId="25" xfId="1" applyNumberFormat="1" applyFont="1" applyFill="1" applyBorder="1" applyAlignment="1">
      <alignment horizont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167" fontId="0" fillId="0" borderId="16" xfId="0" applyNumberFormat="1" applyFont="1" applyBorder="1" applyAlignment="1">
      <alignment horizontal="center" vertical="center"/>
    </xf>
    <xf numFmtId="1" fontId="0" fillId="0" borderId="18" xfId="0" applyNumberFormat="1" applyFont="1" applyBorder="1" applyAlignment="1">
      <alignment horizontal="center" vertical="center"/>
    </xf>
    <xf numFmtId="2" fontId="0" fillId="5" borderId="16" xfId="0" applyNumberFormat="1" applyFont="1" applyFill="1" applyBorder="1" applyAlignment="1">
      <alignment horizontal="center"/>
    </xf>
    <xf numFmtId="3" fontId="0" fillId="0" borderId="16" xfId="0" applyNumberFormat="1" applyBorder="1" applyAlignment="1">
      <alignment horizontal="center"/>
    </xf>
    <xf numFmtId="1" fontId="3" fillId="3" borderId="18" xfId="0" applyNumberFormat="1" applyFont="1" applyFill="1" applyBorder="1" applyAlignment="1">
      <alignment horizontal="center"/>
    </xf>
    <xf numFmtId="2" fontId="3" fillId="3" borderId="16" xfId="0" applyNumberFormat="1" applyFont="1" applyFill="1" applyBorder="1" applyAlignment="1">
      <alignment horizontal="center"/>
    </xf>
    <xf numFmtId="0" fontId="0" fillId="0" borderId="18" xfId="0" applyBorder="1" applyAlignment="1">
      <alignment horizontal="center" vertical="center"/>
    </xf>
    <xf numFmtId="167" fontId="0" fillId="0" borderId="29" xfId="0" applyNumberFormat="1" applyBorder="1" applyAlignment="1">
      <alignment horizontal="center" vertical="center"/>
    </xf>
    <xf numFmtId="167" fontId="0" fillId="0" borderId="16" xfId="0" applyNumberFormat="1" applyBorder="1" applyAlignment="1">
      <alignment horizontal="center" vertical="center"/>
    </xf>
    <xf numFmtId="0" fontId="0" fillId="5" borderId="16" xfId="0" applyFont="1" applyFill="1" applyBorder="1" applyAlignment="1">
      <alignment horizontal="center"/>
    </xf>
    <xf numFmtId="0" fontId="0" fillId="5" borderId="25" xfId="0" applyFont="1" applyFill="1" applyBorder="1" applyAlignment="1">
      <alignment horizontal="center"/>
    </xf>
    <xf numFmtId="167" fontId="3" fillId="3" borderId="27" xfId="0" applyNumberFormat="1" applyFont="1" applyFill="1" applyBorder="1" applyAlignment="1">
      <alignment horizontal="center"/>
    </xf>
    <xf numFmtId="0" fontId="0" fillId="0" borderId="18" xfId="0" applyBorder="1" applyAlignment="1">
      <alignment horizontal="center"/>
    </xf>
    <xf numFmtId="167" fontId="0" fillId="0" borderId="29" xfId="2" applyNumberFormat="1" applyFont="1" applyBorder="1" applyAlignment="1">
      <alignment horizontal="center"/>
    </xf>
    <xf numFmtId="167" fontId="0" fillId="0" borderId="16" xfId="0" applyNumberFormat="1" applyBorder="1" applyAlignment="1">
      <alignment horizontal="center"/>
    </xf>
    <xf numFmtId="0" fontId="0" fillId="4" borderId="18" xfId="0" applyFill="1" applyBorder="1" applyAlignment="1">
      <alignment horizontal="center"/>
    </xf>
    <xf numFmtId="0" fontId="0" fillId="4" borderId="16" xfId="0" applyFill="1" applyBorder="1" applyAlignment="1">
      <alignment horizontal="center"/>
    </xf>
    <xf numFmtId="0" fontId="0" fillId="4" borderId="16" xfId="0" applyFont="1" applyFill="1" applyBorder="1" applyAlignment="1">
      <alignment horizontal="center"/>
    </xf>
    <xf numFmtId="9" fontId="0" fillId="4" borderId="16" xfId="3" applyFont="1" applyFill="1" applyBorder="1" applyAlignment="1">
      <alignment horizontal="center"/>
    </xf>
    <xf numFmtId="4" fontId="0" fillId="4" borderId="16" xfId="0" applyNumberFormat="1" applyFont="1" applyFill="1" applyBorder="1" applyAlignment="1">
      <alignment horizontal="center"/>
    </xf>
    <xf numFmtId="4" fontId="0" fillId="4" borderId="25" xfId="0" applyNumberFormat="1" applyFont="1" applyFill="1" applyBorder="1" applyAlignment="1">
      <alignment horizontal="center"/>
    </xf>
    <xf numFmtId="0" fontId="0" fillId="0" borderId="16" xfId="0" applyBorder="1" applyAlignment="1">
      <alignment horizontal="center"/>
    </xf>
    <xf numFmtId="0" fontId="0" fillId="5" borderId="18" xfId="0" applyFill="1" applyBorder="1" applyAlignment="1">
      <alignment horizontal="center"/>
    </xf>
    <xf numFmtId="0" fontId="0" fillId="5" borderId="16" xfId="0" applyFill="1" applyBorder="1" applyAlignment="1">
      <alignment horizontal="center"/>
    </xf>
    <xf numFmtId="167" fontId="0" fillId="5" borderId="29" xfId="2" applyNumberFormat="1" applyFont="1" applyFill="1" applyBorder="1" applyAlignment="1">
      <alignment horizontal="center"/>
    </xf>
    <xf numFmtId="167" fontId="0" fillId="5" borderId="16" xfId="2" applyNumberFormat="1" applyFont="1" applyFill="1" applyBorder="1" applyAlignment="1">
      <alignment horizontal="center"/>
    </xf>
    <xf numFmtId="1" fontId="0" fillId="5" borderId="18" xfId="0" applyNumberFormat="1" applyFill="1" applyBorder="1" applyAlignment="1">
      <alignment horizontal="center"/>
    </xf>
    <xf numFmtId="3" fontId="0" fillId="5" borderId="16" xfId="0" applyNumberFormat="1" applyFill="1" applyBorder="1" applyAlignment="1">
      <alignment horizontal="center"/>
    </xf>
    <xf numFmtId="3" fontId="3" fillId="3" borderId="25" xfId="0" applyNumberFormat="1" applyFont="1" applyFill="1" applyBorder="1" applyAlignment="1">
      <alignment horizontal="center"/>
    </xf>
    <xf numFmtId="1" fontId="0" fillId="5" borderId="16" xfId="0" applyNumberFormat="1" applyFill="1" applyBorder="1" applyAlignment="1">
      <alignment horizontal="center"/>
    </xf>
    <xf numFmtId="1" fontId="0" fillId="5" borderId="16" xfId="0" applyNumberFormat="1" applyFont="1" applyFill="1" applyBorder="1" applyAlignment="1">
      <alignment horizontal="center"/>
    </xf>
    <xf numFmtId="1" fontId="0" fillId="0" borderId="16" xfId="3" applyNumberFormat="1" applyFont="1" applyFill="1" applyBorder="1" applyAlignment="1">
      <alignment horizontal="center"/>
    </xf>
    <xf numFmtId="164" fontId="3" fillId="6" borderId="18" xfId="1" applyNumberFormat="1" applyFont="1" applyFill="1" applyBorder="1" applyAlignment="1">
      <alignment horizontal="center"/>
    </xf>
    <xf numFmtId="164" fontId="3" fillId="6" borderId="16" xfId="1" applyNumberFormat="1" applyFont="1" applyFill="1" applyBorder="1" applyAlignment="1">
      <alignment horizontal="center"/>
    </xf>
    <xf numFmtId="164" fontId="3" fillId="6" borderId="17" xfId="1" applyNumberFormat="1" applyFont="1" applyFill="1" applyBorder="1" applyAlignment="1">
      <alignment horizontal="center"/>
    </xf>
    <xf numFmtId="167" fontId="3" fillId="3" borderId="16" xfId="1" applyNumberFormat="1" applyFont="1" applyFill="1" applyBorder="1" applyAlignment="1">
      <alignment horizontal="center"/>
    </xf>
    <xf numFmtId="164" fontId="3" fillId="3" borderId="17" xfId="1" applyNumberFormat="1" applyFont="1" applyFill="1" applyBorder="1" applyAlignment="1">
      <alignment horizontal="center"/>
    </xf>
    <xf numFmtId="3" fontId="3" fillId="6" borderId="16" xfId="1" applyNumberFormat="1" applyFont="1" applyFill="1" applyBorder="1" applyAlignment="1">
      <alignment horizontal="center"/>
    </xf>
    <xf numFmtId="43" fontId="3" fillId="6" borderId="16" xfId="1" applyFont="1" applyFill="1" applyBorder="1" applyAlignment="1">
      <alignment horizontal="center"/>
    </xf>
    <xf numFmtId="164" fontId="3" fillId="6" borderId="25" xfId="1" applyNumberFormat="1" applyFont="1" applyFill="1" applyBorder="1" applyAlignment="1">
      <alignment horizontal="center"/>
    </xf>
    <xf numFmtId="3" fontId="3" fillId="3" borderId="33" xfId="0" applyNumberFormat="1" applyFont="1" applyFill="1" applyBorder="1" applyAlignment="1">
      <alignment horizontal="center"/>
    </xf>
    <xf numFmtId="3" fontId="3" fillId="3" borderId="35" xfId="0" applyNumberFormat="1" applyFont="1" applyFill="1" applyBorder="1" applyAlignment="1">
      <alignment horizontal="center"/>
    </xf>
    <xf numFmtId="9" fontId="3" fillId="3" borderId="10" xfId="3" applyFont="1" applyFill="1" applyBorder="1" applyAlignment="1">
      <alignment horizontal="center"/>
    </xf>
    <xf numFmtId="167" fontId="3" fillId="3" borderId="54" xfId="0" applyNumberFormat="1" applyFont="1" applyFill="1" applyBorder="1" applyAlignment="1">
      <alignment horizontal="center"/>
    </xf>
    <xf numFmtId="167" fontId="3" fillId="3" borderId="35" xfId="0" applyNumberFormat="1" applyFont="1" applyFill="1" applyBorder="1" applyAlignment="1">
      <alignment horizontal="center"/>
    </xf>
    <xf numFmtId="9" fontId="3" fillId="3" borderId="36" xfId="3" applyFont="1" applyFill="1" applyBorder="1" applyAlignment="1">
      <alignment horizontal="center"/>
    </xf>
    <xf numFmtId="9" fontId="3" fillId="4" borderId="35" xfId="3" applyFont="1" applyFill="1" applyBorder="1" applyAlignment="1">
      <alignment horizontal="center"/>
    </xf>
    <xf numFmtId="3" fontId="3" fillId="3" borderId="35" xfId="1" applyNumberFormat="1" applyFont="1" applyFill="1" applyBorder="1" applyAlignment="1">
      <alignment horizontal="center"/>
    </xf>
    <xf numFmtId="4" fontId="3" fillId="3" borderId="35" xfId="1" applyNumberFormat="1" applyFont="1" applyFill="1" applyBorder="1" applyAlignment="1">
      <alignment horizontal="center"/>
    </xf>
    <xf numFmtId="168" fontId="10" fillId="0" borderId="21" xfId="2" applyNumberFormat="1" applyFont="1" applyBorder="1" applyAlignment="1">
      <alignment horizontal="center" vertical="center"/>
    </xf>
    <xf numFmtId="168" fontId="0" fillId="0" borderId="21" xfId="0" applyNumberFormat="1" applyBorder="1" applyAlignment="1">
      <alignment horizontal="center" vertical="center"/>
    </xf>
    <xf numFmtId="168" fontId="0" fillId="0" borderId="16" xfId="0" applyNumberFormat="1" applyBorder="1" applyAlignment="1">
      <alignment horizontal="center" vertical="center"/>
    </xf>
    <xf numFmtId="168" fontId="10" fillId="0" borderId="16" xfId="2" applyNumberFormat="1" applyFont="1" applyBorder="1" applyAlignment="1">
      <alignment horizontal="center" vertical="center"/>
    </xf>
    <xf numFmtId="168" fontId="10" fillId="0" borderId="21" xfId="0" applyNumberFormat="1" applyFont="1" applyBorder="1" applyAlignment="1">
      <alignment horizontal="center" vertical="center"/>
    </xf>
    <xf numFmtId="168" fontId="0" fillId="0" borderId="16" xfId="2" applyNumberFormat="1" applyFont="1" applyBorder="1" applyAlignment="1">
      <alignment horizontal="center" vertical="center"/>
    </xf>
    <xf numFmtId="168" fontId="10" fillId="0" borderId="16" xfId="2" applyNumberFormat="1" applyFont="1" applyBorder="1" applyAlignment="1">
      <alignment horizontal="center"/>
    </xf>
    <xf numFmtId="168" fontId="3" fillId="3" borderId="16" xfId="2" applyNumberFormat="1" applyFont="1" applyFill="1" applyBorder="1" applyAlignment="1">
      <alignment horizontal="center"/>
    </xf>
    <xf numFmtId="168" fontId="0" fillId="2" borderId="16" xfId="2" applyNumberFormat="1" applyFont="1" applyFill="1" applyBorder="1" applyAlignment="1">
      <alignment horizontal="center" vertical="center" wrapText="1"/>
    </xf>
    <xf numFmtId="168" fontId="0" fillId="2" borderId="16" xfId="0" applyNumberFormat="1" applyFill="1" applyBorder="1" applyAlignment="1">
      <alignment horizontal="center" vertical="center" wrapText="1"/>
    </xf>
    <xf numFmtId="168" fontId="3" fillId="3" borderId="16" xfId="0" applyNumberFormat="1" applyFont="1" applyFill="1" applyBorder="1" applyAlignment="1">
      <alignment horizontal="center"/>
    </xf>
    <xf numFmtId="168" fontId="3" fillId="3" borderId="44" xfId="2" applyNumberFormat="1" applyFont="1" applyFill="1" applyBorder="1" applyAlignment="1">
      <alignment horizontal="center"/>
    </xf>
    <xf numFmtId="168" fontId="3" fillId="3" borderId="77" xfId="2" applyNumberFormat="1" applyFont="1" applyFill="1" applyBorder="1" applyAlignment="1">
      <alignment horizontal="center"/>
    </xf>
    <xf numFmtId="0" fontId="10" fillId="0" borderId="7" xfId="0" applyFont="1" applyBorder="1" applyAlignment="1">
      <alignment horizontal="center" vertical="center"/>
    </xf>
    <xf numFmtId="1" fontId="10" fillId="0" borderId="21" xfId="0" applyNumberFormat="1" applyFont="1" applyBorder="1" applyAlignment="1">
      <alignment horizontal="center" vertical="center"/>
    </xf>
    <xf numFmtId="1" fontId="3" fillId="3" borderId="16" xfId="0" applyNumberFormat="1" applyFont="1" applyFill="1" applyBorder="1" applyAlignment="1">
      <alignment horizontal="center"/>
    </xf>
    <xf numFmtId="3" fontId="0" fillId="2" borderId="17" xfId="0" applyNumberFormat="1" applyFill="1" applyBorder="1" applyAlignment="1">
      <alignment horizontal="center" vertical="center" wrapText="1"/>
    </xf>
    <xf numFmtId="3" fontId="3" fillId="3" borderId="17" xfId="1" applyNumberFormat="1" applyFont="1" applyFill="1" applyBorder="1" applyAlignment="1">
      <alignment horizontal="center"/>
    </xf>
    <xf numFmtId="3" fontId="10" fillId="0" borderId="16" xfId="0" applyNumberFormat="1" applyFont="1" applyBorder="1" applyAlignment="1">
      <alignment horizontal="center"/>
    </xf>
    <xf numFmtId="1" fontId="0" fillId="0" borderId="16" xfId="0" applyNumberFormat="1" applyBorder="1" applyAlignment="1">
      <alignment horizontal="center" vertical="center"/>
    </xf>
    <xf numFmtId="3" fontId="3" fillId="6" borderId="33" xfId="1" applyNumberFormat="1" applyFont="1" applyFill="1" applyBorder="1" applyAlignment="1">
      <alignment horizontal="center"/>
    </xf>
    <xf numFmtId="164" fontId="3" fillId="6" borderId="41" xfId="1" applyNumberFormat="1" applyFont="1" applyFill="1" applyBorder="1" applyAlignment="1">
      <alignment horizontal="center"/>
    </xf>
    <xf numFmtId="164" fontId="3" fillId="6" borderId="12" xfId="1" applyNumberFormat="1" applyFont="1" applyFill="1" applyBorder="1" applyAlignment="1">
      <alignment horizontal="center"/>
    </xf>
    <xf numFmtId="3" fontId="3" fillId="6" borderId="36" xfId="1" applyNumberFormat="1" applyFont="1" applyFill="1" applyBorder="1" applyAlignment="1">
      <alignment horizontal="center"/>
    </xf>
    <xf numFmtId="167" fontId="0" fillId="0" borderId="16" xfId="2" applyNumberFormat="1" applyFont="1" applyBorder="1" applyAlignment="1">
      <alignment horizontal="center"/>
    </xf>
    <xf numFmtId="164" fontId="3" fillId="6" borderId="33" xfId="1" applyNumberFormat="1" applyFont="1" applyFill="1" applyBorder="1" applyAlignment="1">
      <alignment horizontal="center"/>
    </xf>
    <xf numFmtId="164" fontId="3" fillId="6" borderId="36" xfId="1" applyNumberFormat="1" applyFont="1" applyFill="1" applyBorder="1" applyAlignment="1">
      <alignment horizontal="center"/>
    </xf>
    <xf numFmtId="167" fontId="3" fillId="3" borderId="33" xfId="2" applyNumberFormat="1" applyFont="1" applyFill="1" applyBorder="1" applyAlignment="1">
      <alignment horizontal="center"/>
    </xf>
    <xf numFmtId="164" fontId="21" fillId="0" borderId="67" xfId="1" applyNumberFormat="1" applyFont="1" applyBorder="1" applyAlignment="1">
      <alignment horizontal="center"/>
    </xf>
    <xf numFmtId="10" fontId="22" fillId="0" borderId="67" xfId="3" applyNumberFormat="1" applyFont="1" applyBorder="1" applyAlignment="1">
      <alignment horizontal="center"/>
    </xf>
    <xf numFmtId="10" fontId="21" fillId="0" borderId="70" xfId="1" applyNumberFormat="1" applyFont="1" applyBorder="1" applyAlignment="1">
      <alignment horizontal="center"/>
    </xf>
    <xf numFmtId="10" fontId="22" fillId="0" borderId="70" xfId="1" applyNumberFormat="1" applyFont="1" applyBorder="1" applyAlignment="1">
      <alignment horizontal="center"/>
    </xf>
    <xf numFmtId="37" fontId="21" fillId="0" borderId="67" xfId="1" applyNumberFormat="1" applyFont="1" applyBorder="1" applyAlignment="1">
      <alignment horizontal="center"/>
    </xf>
    <xf numFmtId="37" fontId="21" fillId="0" borderId="70" xfId="1" applyNumberFormat="1" applyFont="1" applyBorder="1" applyAlignment="1">
      <alignment horizontal="center"/>
    </xf>
    <xf numFmtId="37" fontId="22" fillId="0" borderId="71" xfId="1" applyNumberFormat="1" applyFont="1" applyBorder="1" applyAlignment="1">
      <alignment horizontal="center"/>
    </xf>
    <xf numFmtId="3" fontId="25" fillId="0" borderId="16" xfId="7" applyNumberFormat="1" applyBorder="1" applyAlignment="1">
      <alignment horizontal="center"/>
    </xf>
    <xf numFmtId="9" fontId="0" fillId="0" borderId="16" xfId="3" applyFont="1" applyBorder="1" applyAlignment="1">
      <alignment horizontal="center"/>
    </xf>
    <xf numFmtId="9" fontId="0" fillId="8" borderId="16" xfId="3" applyFont="1" applyFill="1" applyBorder="1" applyAlignment="1">
      <alignment horizontal="center"/>
    </xf>
    <xf numFmtId="37" fontId="0" fillId="0" borderId="16" xfId="1" applyNumberFormat="1" applyFont="1" applyBorder="1" applyAlignment="1">
      <alignment horizontal="center"/>
    </xf>
    <xf numFmtId="37" fontId="0" fillId="8" borderId="16" xfId="1" applyNumberFormat="1" applyFont="1" applyFill="1" applyBorder="1" applyAlignment="1">
      <alignment horizontal="center"/>
    </xf>
    <xf numFmtId="37" fontId="0" fillId="5" borderId="16" xfId="1" applyNumberFormat="1" applyFont="1" applyFill="1" applyBorder="1" applyAlignment="1">
      <alignment horizontal="center"/>
    </xf>
    <xf numFmtId="37" fontId="1" fillId="8" borderId="16" xfId="1" applyNumberFormat="1" applyFont="1" applyFill="1" applyBorder="1" applyAlignment="1">
      <alignment horizontal="center"/>
    </xf>
    <xf numFmtId="169" fontId="0" fillId="0" borderId="16" xfId="3" applyNumberFormat="1" applyFont="1" applyBorder="1" applyAlignment="1">
      <alignment horizontal="center"/>
    </xf>
    <xf numFmtId="169" fontId="0" fillId="4" borderId="16" xfId="3" applyNumberFormat="1" applyFont="1" applyFill="1" applyBorder="1" applyAlignment="1">
      <alignment horizontal="center"/>
    </xf>
    <xf numFmtId="3" fontId="0" fillId="0" borderId="16" xfId="0" applyNumberFormat="1" applyBorder="1" applyAlignment="1">
      <alignment horizontal="center" wrapText="1"/>
    </xf>
    <xf numFmtId="3" fontId="0" fillId="0" borderId="16" xfId="3" applyNumberFormat="1" applyFont="1" applyBorder="1" applyAlignment="1">
      <alignment horizontal="center" wrapText="1"/>
    </xf>
    <xf numFmtId="3" fontId="3" fillId="0" borderId="16" xfId="0" applyNumberFormat="1" applyFont="1" applyBorder="1" applyAlignment="1">
      <alignment horizontal="center"/>
    </xf>
    <xf numFmtId="169" fontId="3" fillId="0" borderId="16" xfId="3" applyNumberFormat="1" applyFont="1" applyBorder="1" applyAlignment="1">
      <alignment horizontal="center"/>
    </xf>
    <xf numFmtId="167" fontId="0" fillId="0" borderId="16" xfId="0" applyNumberFormat="1" applyBorder="1" applyAlignment="1">
      <alignment horizontal="center" wrapText="1"/>
    </xf>
    <xf numFmtId="167" fontId="0" fillId="0" borderId="16" xfId="3" applyNumberFormat="1" applyFont="1" applyBorder="1" applyAlignment="1">
      <alignment horizontal="center" wrapText="1"/>
    </xf>
    <xf numFmtId="167" fontId="3" fillId="0" borderId="16" xfId="0" applyNumberFormat="1" applyFont="1" applyBorder="1" applyAlignment="1">
      <alignment horizontal="center"/>
    </xf>
    <xf numFmtId="170" fontId="0" fillId="0" borderId="0" xfId="0" applyNumberFormat="1"/>
    <xf numFmtId="3" fontId="0" fillId="0" borderId="0" xfId="0" applyNumberFormat="1" applyAlignment="1">
      <alignment wrapText="1"/>
    </xf>
    <xf numFmtId="37" fontId="1" fillId="0" borderId="16" xfId="1" applyNumberFormat="1" applyFont="1" applyFill="1" applyBorder="1"/>
    <xf numFmtId="167" fontId="0" fillId="0" borderId="23" xfId="0" applyNumberFormat="1" applyBorder="1"/>
    <xf numFmtId="167" fontId="0" fillId="0" borderId="24" xfId="0" applyNumberFormat="1" applyBorder="1"/>
    <xf numFmtId="167" fontId="0" fillId="0" borderId="25" xfId="0" applyNumberFormat="1" applyBorder="1"/>
    <xf numFmtId="2" fontId="3" fillId="0" borderId="23" xfId="0" applyNumberFormat="1" applyFont="1" applyBorder="1" applyAlignment="1">
      <alignment horizontal="center"/>
    </xf>
    <xf numFmtId="2" fontId="3" fillId="0" borderId="24" xfId="0" applyNumberFormat="1" applyFont="1" applyBorder="1" applyAlignment="1">
      <alignment horizontal="center"/>
    </xf>
    <xf numFmtId="2" fontId="3" fillId="0" borderId="25" xfId="0" applyNumberFormat="1" applyFont="1" applyBorder="1" applyAlignment="1">
      <alignment horizontal="center"/>
    </xf>
    <xf numFmtId="2" fontId="3" fillId="0" borderId="24" xfId="0" applyNumberFormat="1" applyFont="1" applyBorder="1" applyAlignment="1">
      <alignment horizontal="right"/>
    </xf>
    <xf numFmtId="2" fontId="3" fillId="0" borderId="25" xfId="0" applyNumberFormat="1" applyFont="1" applyBorder="1" applyAlignment="1">
      <alignment horizontal="right"/>
    </xf>
    <xf numFmtId="2" fontId="3" fillId="0" borderId="23" xfId="0" applyNumberFormat="1" applyFont="1" applyBorder="1" applyAlignment="1">
      <alignment horizontal="right"/>
    </xf>
    <xf numFmtId="0" fontId="0" fillId="18" borderId="0" xfId="0" applyFill="1" applyBorder="1"/>
    <xf numFmtId="167" fontId="0" fillId="0" borderId="0" xfId="0" applyNumberFormat="1" applyBorder="1"/>
    <xf numFmtId="0" fontId="0" fillId="18" borderId="78" xfId="0" applyFill="1" applyBorder="1"/>
    <xf numFmtId="167" fontId="0" fillId="0" borderId="37" xfId="0" applyNumberFormat="1" applyFont="1" applyBorder="1"/>
    <xf numFmtId="167" fontId="0" fillId="0" borderId="23" xfId="0" applyNumberFormat="1" applyFont="1" applyBorder="1"/>
    <xf numFmtId="167" fontId="0" fillId="0" borderId="24" xfId="0" applyNumberFormat="1" applyFont="1" applyBorder="1"/>
    <xf numFmtId="167" fontId="0" fillId="0" borderId="25" xfId="0" applyNumberFormat="1" applyFont="1" applyBorder="1"/>
    <xf numFmtId="2" fontId="3" fillId="0" borderId="79" xfId="0" applyNumberFormat="1" applyFont="1" applyBorder="1"/>
    <xf numFmtId="2" fontId="3" fillId="0" borderId="80" xfId="0" applyNumberFormat="1" applyFont="1" applyBorder="1"/>
    <xf numFmtId="2" fontId="3" fillId="0" borderId="13" xfId="0" applyNumberFormat="1" applyFont="1" applyBorder="1"/>
    <xf numFmtId="6" fontId="3" fillId="0" borderId="0" xfId="0" applyNumberFormat="1" applyFont="1"/>
    <xf numFmtId="167" fontId="0" fillId="0" borderId="0" xfId="0" applyNumberFormat="1" applyFont="1"/>
    <xf numFmtId="167" fontId="0" fillId="0" borderId="46" xfId="0" applyNumberFormat="1" applyFont="1" applyBorder="1"/>
    <xf numFmtId="167" fontId="0" fillId="0" borderId="56" xfId="0" applyNumberFormat="1" applyFont="1" applyBorder="1"/>
    <xf numFmtId="167" fontId="0" fillId="0" borderId="58" xfId="0" applyNumberFormat="1" applyFont="1" applyBorder="1"/>
    <xf numFmtId="167" fontId="0" fillId="0" borderId="57" xfId="0" applyNumberFormat="1" applyFont="1" applyBorder="1"/>
    <xf numFmtId="0" fontId="0" fillId="0" borderId="81" xfId="0" applyBorder="1" applyAlignment="1">
      <alignment wrapText="1"/>
    </xf>
    <xf numFmtId="2" fontId="0" fillId="0" borderId="16" xfId="3" applyNumberFormat="1" applyFont="1" applyBorder="1" applyAlignment="1">
      <alignment horizontal="center"/>
    </xf>
    <xf numFmtId="2" fontId="0" fillId="0" borderId="17" xfId="3" applyNumberFormat="1" applyFont="1" applyBorder="1" applyAlignment="1">
      <alignment horizontal="center"/>
    </xf>
    <xf numFmtId="0" fontId="3" fillId="0" borderId="81" xfId="0" applyFont="1" applyBorder="1" applyAlignment="1">
      <alignment horizontal="right" wrapText="1"/>
    </xf>
    <xf numFmtId="2" fontId="3" fillId="0" borderId="16" xfId="3" applyNumberFormat="1" applyFont="1" applyBorder="1" applyAlignment="1">
      <alignment horizontal="center"/>
    </xf>
    <xf numFmtId="2" fontId="3" fillId="0" borderId="17" xfId="3" applyNumberFormat="1" applyFont="1" applyBorder="1" applyAlignment="1">
      <alignment horizontal="center"/>
    </xf>
    <xf numFmtId="0" fontId="0" fillId="0" borderId="82" xfId="0" applyBorder="1" applyAlignment="1">
      <alignment wrapText="1"/>
    </xf>
    <xf numFmtId="2" fontId="0" fillId="0" borderId="12" xfId="3" applyNumberFormat="1" applyFont="1" applyBorder="1" applyAlignment="1">
      <alignment horizontal="center"/>
    </xf>
    <xf numFmtId="2" fontId="0" fillId="0" borderId="10" xfId="3" applyNumberFormat="1" applyFont="1" applyBorder="1" applyAlignment="1">
      <alignment horizontal="center"/>
    </xf>
    <xf numFmtId="2" fontId="0" fillId="0" borderId="16" xfId="3" applyNumberFormat="1" applyFont="1" applyBorder="1" applyAlignment="1">
      <alignment horizontal="center" vertical="center"/>
    </xf>
    <xf numFmtId="2" fontId="0" fillId="0" borderId="18" xfId="2" applyNumberFormat="1" applyFont="1" applyBorder="1" applyAlignment="1">
      <alignment horizontal="center"/>
    </xf>
    <xf numFmtId="2" fontId="0" fillId="0" borderId="16" xfId="2" applyNumberFormat="1" applyFont="1" applyBorder="1" applyAlignment="1">
      <alignment horizontal="center"/>
    </xf>
    <xf numFmtId="2" fontId="3" fillId="0" borderId="18" xfId="2" applyNumberFormat="1" applyFont="1" applyBorder="1" applyAlignment="1">
      <alignment horizontal="center"/>
    </xf>
    <xf numFmtId="2" fontId="3" fillId="0" borderId="16" xfId="2" applyNumberFormat="1" applyFont="1" applyBorder="1" applyAlignment="1">
      <alignment horizontal="center"/>
    </xf>
    <xf numFmtId="2" fontId="0" fillId="0" borderId="16" xfId="0" applyNumberFormat="1" applyBorder="1" applyAlignment="1">
      <alignment horizontal="center"/>
    </xf>
    <xf numFmtId="2" fontId="0" fillId="0" borderId="9" xfId="2" applyNumberFormat="1" applyFont="1" applyBorder="1" applyAlignment="1">
      <alignment horizontal="center"/>
    </xf>
    <xf numFmtId="2" fontId="0" fillId="0" borderId="12" xfId="2" applyNumberFormat="1" applyFont="1" applyBorder="1" applyAlignment="1">
      <alignment horizontal="center"/>
    </xf>
    <xf numFmtId="2" fontId="3" fillId="0" borderId="16" xfId="0" applyNumberFormat="1" applyFont="1" applyBorder="1" applyAlignment="1">
      <alignment horizontal="center"/>
    </xf>
    <xf numFmtId="0" fontId="7" fillId="2" borderId="18" xfId="0"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2" fontId="0" fillId="0" borderId="17" xfId="3" applyNumberFormat="1" applyFont="1" applyBorder="1" applyAlignment="1">
      <alignment horizontal="center" vertical="center"/>
    </xf>
    <xf numFmtId="2" fontId="3" fillId="0" borderId="18" xfId="0" applyNumberFormat="1" applyFont="1" applyBorder="1" applyAlignment="1">
      <alignment horizontal="center"/>
    </xf>
    <xf numFmtId="2" fontId="3" fillId="0" borderId="17" xfId="0" applyNumberFormat="1" applyFont="1" applyBorder="1" applyAlignment="1">
      <alignment horizontal="center"/>
    </xf>
    <xf numFmtId="2" fontId="0" fillId="0" borderId="18" xfId="0" applyNumberFormat="1" applyBorder="1" applyAlignment="1">
      <alignment horizontal="center"/>
    </xf>
    <xf numFmtId="2" fontId="0" fillId="0" borderId="17" xfId="0" applyNumberFormat="1" applyBorder="1" applyAlignment="1">
      <alignment horizontal="center"/>
    </xf>
    <xf numFmtId="2" fontId="0" fillId="0" borderId="9" xfId="0" applyNumberFormat="1" applyBorder="1" applyAlignment="1">
      <alignment horizontal="center"/>
    </xf>
    <xf numFmtId="2" fontId="0" fillId="0" borderId="12" xfId="0" applyNumberFormat="1" applyBorder="1" applyAlignment="1">
      <alignment horizontal="center"/>
    </xf>
    <xf numFmtId="2" fontId="0" fillId="0" borderId="10" xfId="0" applyNumberFormat="1" applyBorder="1" applyAlignment="1">
      <alignment horizontal="center"/>
    </xf>
    <xf numFmtId="3" fontId="0" fillId="0" borderId="18" xfId="0" applyNumberFormat="1" applyBorder="1" applyAlignment="1">
      <alignment horizontal="center" wrapText="1"/>
    </xf>
    <xf numFmtId="4" fontId="0" fillId="0" borderId="18" xfId="0" applyNumberFormat="1" applyBorder="1" applyAlignment="1">
      <alignment horizontal="center" wrapText="1"/>
    </xf>
    <xf numFmtId="3" fontId="0" fillId="0" borderId="29" xfId="1" applyNumberFormat="1" applyFont="1" applyBorder="1" applyAlignment="1">
      <alignment horizontal="center" wrapText="1"/>
    </xf>
    <xf numFmtId="3" fontId="0" fillId="0" borderId="25" xfId="1" applyNumberFormat="1" applyFont="1" applyBorder="1" applyAlignment="1">
      <alignment horizontal="center" wrapText="1"/>
    </xf>
    <xf numFmtId="3" fontId="0" fillId="0" borderId="18" xfId="1" applyNumberFormat="1" applyFont="1" applyBorder="1" applyAlignment="1">
      <alignment horizontal="center" wrapText="1"/>
    </xf>
    <xf numFmtId="3" fontId="0" fillId="19" borderId="18" xfId="0" applyNumberFormat="1" applyFill="1" applyBorder="1" applyAlignment="1">
      <alignment horizontal="center" wrapText="1"/>
    </xf>
    <xf numFmtId="3" fontId="0" fillId="19" borderId="17" xfId="3" applyNumberFormat="1" applyFont="1" applyFill="1" applyBorder="1" applyAlignment="1">
      <alignment horizontal="center" wrapText="1"/>
    </xf>
    <xf numFmtId="3" fontId="0" fillId="19" borderId="16" xfId="0" applyNumberFormat="1" applyFill="1" applyBorder="1" applyAlignment="1">
      <alignment horizontal="center" wrapText="1"/>
    </xf>
    <xf numFmtId="3" fontId="0" fillId="22" borderId="9" xfId="0" applyNumberFormat="1" applyFill="1" applyBorder="1" applyAlignment="1">
      <alignment horizontal="center" wrapText="1"/>
    </xf>
    <xf numFmtId="3" fontId="0" fillId="22" borderId="12" xfId="0" applyNumberFormat="1" applyFill="1" applyBorder="1" applyAlignment="1">
      <alignment horizontal="center" wrapText="1"/>
    </xf>
    <xf numFmtId="3" fontId="0" fillId="22" borderId="12" xfId="3" applyNumberFormat="1" applyFont="1" applyFill="1" applyBorder="1" applyAlignment="1">
      <alignment horizontal="center" wrapText="1"/>
    </xf>
    <xf numFmtId="3" fontId="0" fillId="22" borderId="13" xfId="1" applyNumberFormat="1" applyFont="1" applyFill="1" applyBorder="1" applyAlignment="1">
      <alignment horizontal="center" wrapText="1"/>
    </xf>
    <xf numFmtId="3" fontId="0" fillId="19" borderId="9" xfId="3" applyNumberFormat="1" applyFont="1" applyFill="1" applyBorder="1" applyAlignment="1">
      <alignment horizontal="center" wrapText="1"/>
    </xf>
    <xf numFmtId="3" fontId="0" fillId="19" borderId="10" xfId="3" applyNumberFormat="1" applyFont="1" applyFill="1" applyBorder="1" applyAlignment="1">
      <alignment horizontal="center" wrapText="1"/>
    </xf>
    <xf numFmtId="4" fontId="0" fillId="0" borderId="29" xfId="1" applyNumberFormat="1" applyFont="1" applyBorder="1" applyAlignment="1">
      <alignment horizontal="center" wrapText="1"/>
    </xf>
    <xf numFmtId="4" fontId="0" fillId="0" borderId="25" xfId="1" applyNumberFormat="1" applyFont="1" applyBorder="1" applyAlignment="1">
      <alignment horizontal="center" wrapText="1"/>
    </xf>
    <xf numFmtId="167" fontId="0" fillId="0" borderId="9" xfId="0" applyNumberFormat="1" applyBorder="1" applyAlignment="1">
      <alignment horizontal="center" wrapText="1"/>
    </xf>
    <xf numFmtId="167" fontId="0" fillId="19" borderId="12" xfId="0" applyNumberFormat="1" applyFill="1" applyBorder="1" applyAlignment="1">
      <alignment horizontal="center" wrapText="1"/>
    </xf>
    <xf numFmtId="167" fontId="0" fillId="19" borderId="12" xfId="3" applyNumberFormat="1" applyFont="1" applyFill="1" applyBorder="1" applyAlignment="1">
      <alignment horizontal="center" wrapText="1"/>
    </xf>
    <xf numFmtId="167" fontId="0" fillId="0" borderId="13" xfId="1" applyNumberFormat="1" applyFont="1" applyBorder="1" applyAlignment="1">
      <alignment horizontal="center" wrapText="1"/>
    </xf>
    <xf numFmtId="9" fontId="0" fillId="0" borderId="17" xfId="3" applyNumberFormat="1" applyFont="1" applyBorder="1" applyAlignment="1">
      <alignment horizontal="center" wrapText="1"/>
    </xf>
    <xf numFmtId="0" fontId="0" fillId="24" borderId="38" xfId="0" applyFill="1" applyBorder="1" applyAlignment="1">
      <alignment horizontal="left"/>
    </xf>
    <xf numFmtId="0" fontId="0" fillId="24" borderId="0" xfId="0" applyFill="1" applyAlignment="1">
      <alignment horizontal="left"/>
    </xf>
    <xf numFmtId="0" fontId="0" fillId="24" borderId="0" xfId="0" applyFill="1" applyAlignment="1">
      <alignment horizontal="left" vertical="center" wrapText="1"/>
    </xf>
    <xf numFmtId="0" fontId="0" fillId="0" borderId="0" xfId="0" applyAlignment="1">
      <alignment horizontal="left"/>
    </xf>
    <xf numFmtId="0" fontId="34" fillId="23" borderId="2" xfId="0" applyFont="1" applyFill="1" applyBorder="1" applyAlignment="1">
      <alignment horizontal="center" vertical="center" wrapText="1"/>
    </xf>
    <xf numFmtId="0" fontId="34" fillId="23" borderId="4" xfId="0" applyFont="1" applyFill="1" applyBorder="1" applyAlignment="1">
      <alignment horizontal="center" vertical="center" wrapText="1"/>
    </xf>
    <xf numFmtId="0" fontId="34" fillId="23" borderId="3" xfId="0" applyFont="1" applyFill="1" applyBorder="1" applyAlignment="1">
      <alignment horizontal="center" vertical="center" wrapText="1"/>
    </xf>
    <xf numFmtId="0" fontId="7" fillId="2" borderId="59" xfId="0" applyFont="1" applyFill="1" applyBorder="1" applyAlignment="1">
      <alignment horizontal="left" vertical="center" wrapText="1"/>
    </xf>
    <xf numFmtId="0" fontId="7" fillId="2" borderId="4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0" borderId="26" xfId="0" applyBorder="1" applyAlignment="1">
      <alignment horizontal="left" vertical="center"/>
    </xf>
    <xf numFmtId="0" fontId="0" fillId="0" borderId="20" xfId="0" applyBorder="1" applyAlignment="1">
      <alignment horizontal="left" vertical="center"/>
    </xf>
    <xf numFmtId="167" fontId="1" fillId="5" borderId="43" xfId="2" applyNumberFormat="1" applyFont="1" applyFill="1" applyBorder="1" applyAlignment="1">
      <alignment horizontal="center"/>
    </xf>
    <xf numFmtId="167" fontId="1" fillId="5" borderId="21" xfId="2" applyNumberFormat="1" applyFont="1" applyFill="1" applyBorder="1" applyAlignment="1">
      <alignment horizontal="center"/>
    </xf>
    <xf numFmtId="167" fontId="1" fillId="5" borderId="27" xfId="2" applyNumberFormat="1" applyFont="1" applyFill="1" applyBorder="1" applyAlignment="1">
      <alignment horizontal="center"/>
    </xf>
    <xf numFmtId="9" fontId="1" fillId="5" borderId="49" xfId="3" applyFont="1" applyFill="1" applyBorder="1" applyAlignment="1">
      <alignment horizontal="center"/>
    </xf>
    <xf numFmtId="9" fontId="1" fillId="5" borderId="22" xfId="3" applyFont="1" applyFill="1" applyBorder="1" applyAlignment="1">
      <alignment horizontal="center"/>
    </xf>
    <xf numFmtId="0" fontId="6" fillId="2" borderId="3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47" xfId="0" applyFont="1" applyFill="1" applyBorder="1" applyAlignment="1">
      <alignment horizontal="center" vertical="center"/>
    </xf>
    <xf numFmtId="0" fontId="6" fillId="7" borderId="38" xfId="0" applyFont="1" applyFill="1" applyBorder="1" applyAlignment="1">
      <alignment horizontal="center" vertical="center"/>
    </xf>
    <xf numFmtId="0" fontId="0" fillId="0" borderId="18" xfId="0" applyBorder="1" applyAlignment="1">
      <alignment horizontal="left" vertical="center" wrapText="1"/>
    </xf>
    <xf numFmtId="0" fontId="6" fillId="2" borderId="40" xfId="0" applyFont="1" applyFill="1" applyBorder="1" applyAlignment="1">
      <alignment horizontal="center" vertical="center"/>
    </xf>
    <xf numFmtId="0" fontId="0" fillId="5" borderId="30" xfId="0" applyFont="1" applyFill="1" applyBorder="1" applyAlignment="1">
      <alignment horizontal="left" vertical="center"/>
    </xf>
    <xf numFmtId="0" fontId="0" fillId="5" borderId="20" xfId="0" applyFont="1" applyFill="1" applyBorder="1" applyAlignment="1">
      <alignment horizontal="left" vertical="center"/>
    </xf>
    <xf numFmtId="3" fontId="0" fillId="5" borderId="43" xfId="0" applyNumberFormat="1" applyFont="1" applyFill="1" applyBorder="1" applyAlignment="1">
      <alignment horizontal="center"/>
    </xf>
    <xf numFmtId="3" fontId="0" fillId="5" borderId="21" xfId="0" applyNumberFormat="1" applyFont="1" applyFill="1" applyBorder="1" applyAlignment="1">
      <alignment horizont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34"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164" fontId="7" fillId="2" borderId="40" xfId="1" applyNumberFormat="1" applyFont="1" applyFill="1" applyBorder="1" applyAlignment="1">
      <alignment horizontal="center" vertical="center" wrapText="1"/>
    </xf>
    <xf numFmtId="164" fontId="7" fillId="2" borderId="48" xfId="1" applyNumberFormat="1" applyFont="1" applyFill="1" applyBorder="1" applyAlignment="1">
      <alignment horizontal="center" vertical="center" wrapText="1"/>
    </xf>
    <xf numFmtId="164" fontId="7" fillId="7" borderId="44" xfId="1" applyNumberFormat="1" applyFont="1" applyFill="1" applyBorder="1" applyAlignment="1">
      <alignment horizontal="center" vertical="center" wrapText="1"/>
    </xf>
    <xf numFmtId="164" fontId="7" fillId="7" borderId="48" xfId="1" applyNumberFormat="1" applyFont="1" applyFill="1" applyBorder="1" applyAlignment="1">
      <alignment horizontal="center" vertical="center" wrapText="1"/>
    </xf>
    <xf numFmtId="0" fontId="20" fillId="2" borderId="47" xfId="6" applyFont="1" applyFill="1" applyBorder="1" applyAlignment="1">
      <alignment horizontal="center" vertical="center" wrapText="1"/>
    </xf>
    <xf numFmtId="0" fontId="1" fillId="2" borderId="38" xfId="0" applyFont="1" applyFill="1" applyBorder="1" applyAlignment="1">
      <alignment wrapText="1"/>
    </xf>
    <xf numFmtId="0" fontId="1" fillId="2" borderId="1" xfId="0" applyFont="1" applyFill="1" applyBorder="1" applyAlignment="1">
      <alignment wrapText="1"/>
    </xf>
    <xf numFmtId="0" fontId="1" fillId="2" borderId="44" xfId="0" applyFont="1" applyFill="1" applyBorder="1" applyAlignment="1">
      <alignment wrapText="1"/>
    </xf>
    <xf numFmtId="0" fontId="1" fillId="2" borderId="40" xfId="0" applyFont="1" applyFill="1" applyBorder="1" applyAlignment="1">
      <alignment wrapText="1"/>
    </xf>
    <xf numFmtId="0" fontId="1" fillId="2" borderId="48" xfId="0" applyFont="1" applyFill="1" applyBorder="1" applyAlignment="1">
      <alignment wrapText="1"/>
    </xf>
    <xf numFmtId="0" fontId="28" fillId="0" borderId="0" xfId="7" applyFont="1" applyAlignment="1">
      <alignment horizontal="left" vertical="center" wrapText="1"/>
    </xf>
    <xf numFmtId="0" fontId="35" fillId="0" borderId="59" xfId="7" applyFont="1" applyBorder="1" applyAlignment="1">
      <alignment horizontal="left" vertical="top" wrapText="1"/>
    </xf>
    <xf numFmtId="0" fontId="35" fillId="0" borderId="0" xfId="7" applyFont="1" applyAlignment="1">
      <alignment horizontal="left" vertical="top" wrapText="1"/>
    </xf>
    <xf numFmtId="0" fontId="25" fillId="0" borderId="0" xfId="7" applyAlignment="1">
      <alignment horizontal="left" wrapText="1"/>
    </xf>
    <xf numFmtId="0" fontId="30" fillId="0" borderId="16" xfId="7" applyFont="1" applyBorder="1" applyAlignment="1">
      <alignment horizontal="center" vertical="center"/>
    </xf>
    <xf numFmtId="0" fontId="0" fillId="9" borderId="24" xfId="0" applyFill="1" applyBorder="1" applyAlignment="1" applyProtection="1">
      <alignment horizontal="center" vertical="center"/>
      <protection hidden="1"/>
    </xf>
    <xf numFmtId="0" fontId="0" fillId="9" borderId="29" xfId="0" applyFill="1" applyBorder="1" applyAlignment="1" applyProtection="1">
      <alignment horizontal="center" vertical="center"/>
      <protection hidden="1"/>
    </xf>
    <xf numFmtId="0" fontId="0" fillId="11" borderId="32" xfId="0" applyFill="1" applyBorder="1" applyAlignment="1" applyProtection="1">
      <alignment horizontal="center" vertical="center"/>
      <protection hidden="1"/>
    </xf>
    <xf numFmtId="0" fontId="0" fillId="11" borderId="24" xfId="0" applyFill="1" applyBorder="1" applyAlignment="1" applyProtection="1">
      <alignment horizontal="center" vertical="center"/>
      <protection hidden="1"/>
    </xf>
    <xf numFmtId="0" fontId="0" fillId="11" borderId="29" xfId="0" applyFill="1" applyBorder="1" applyAlignment="1" applyProtection="1">
      <alignment horizontal="center" vertical="center"/>
      <protection hidden="1"/>
    </xf>
    <xf numFmtId="0" fontId="0" fillId="12" borderId="32" xfId="0" applyFill="1" applyBorder="1" applyAlignment="1" applyProtection="1">
      <alignment horizontal="center" vertical="center" wrapText="1"/>
      <protection hidden="1"/>
    </xf>
    <xf numFmtId="0" fontId="0" fillId="12" borderId="24" xfId="0" applyFill="1" applyBorder="1" applyAlignment="1" applyProtection="1">
      <alignment horizontal="center" vertical="center" wrapText="1"/>
      <protection hidden="1"/>
    </xf>
    <xf numFmtId="0" fontId="0" fillId="12" borderId="29" xfId="0" applyFill="1" applyBorder="1" applyAlignment="1" applyProtection="1">
      <alignment horizontal="center" vertical="center" wrapText="1"/>
      <protection hidden="1"/>
    </xf>
  </cellXfs>
  <cellStyles count="8">
    <cellStyle name="Comma" xfId="1" builtinId="3"/>
    <cellStyle name="Currency" xfId="2" builtinId="4"/>
    <cellStyle name="Normal" xfId="0" builtinId="0"/>
    <cellStyle name="Normal 10 2" xfId="4"/>
    <cellStyle name="Normal 2" xfId="7"/>
    <cellStyle name="Normal_Lookup Sheet" xfId="5"/>
    <cellStyle name="Normal_Revised Exhibit 1_021810_Eberts" xfId="6"/>
    <cellStyle name="Percent" xfId="3" builtinId="5"/>
  </cellStyles>
  <dxfs count="1">
    <dxf>
      <fill>
        <patternFill>
          <bgColor theme="7"/>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2-6'!$I$17:$J$17</c:f>
              <c:strCache>
                <c:ptCount val="2"/>
                <c:pt idx="0">
                  <c:v>Annual Energy Savings</c:v>
                </c:pt>
                <c:pt idx="1">
                  <c:v>Expenditures</c:v>
                </c:pt>
              </c:strCache>
            </c:strRef>
          </c:cat>
          <c:val>
            <c:numRef>
              <c:f>'Tables 2-6'!$I$18:$J$18</c:f>
              <c:numCache>
                <c:formatCode>0%</c:formatCode>
                <c:ptCount val="2"/>
                <c:pt idx="0">
                  <c:v>1.3981290427350297</c:v>
                </c:pt>
                <c:pt idx="1">
                  <c:v>0.80747001477968683</c:v>
                </c:pt>
              </c:numCache>
            </c:numRef>
          </c:val>
          <c:extLst>
            <c:ext xmlns:c16="http://schemas.microsoft.com/office/drawing/2014/chart" uri="{C3380CC4-5D6E-409C-BE32-E72D297353CC}">
              <c16:uniqueId val="{00000000-8174-49E7-810E-B521C33ACC41}"/>
            </c:ext>
          </c:extLst>
        </c:ser>
        <c:dLbls>
          <c:dLblPos val="outEnd"/>
          <c:showLegendKey val="0"/>
          <c:showVal val="1"/>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1.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15553.703177022273</c:v>
                </c:pt>
                <c:pt idx="1">
                  <c:v>15117.80505024513</c:v>
                </c:pt>
              </c:numCache>
            </c:numRef>
          </c:val>
          <c:extLst>
            <c:ext xmlns:c16="http://schemas.microsoft.com/office/drawing/2014/chart" uri="{C3380CC4-5D6E-409C-BE32-E72D297353CC}">
              <c16:uniqueId val="{00000000-26AC-4522-B733-37C986B2703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#,##0_);\(#,##0\)</c:formatCode>
                <c:ptCount val="2"/>
                <c:pt idx="0" formatCode="_(* #,##0_);_(* \(#,##0\);_(* &quot;-&quot;??_);_(@_)">
                  <c:v>176796.17600000001</c:v>
                </c:pt>
                <c:pt idx="1">
                  <c:v>132152.08719809647</c:v>
                </c:pt>
              </c:numCache>
            </c:numRef>
          </c:val>
          <c:extLst>
            <c:ext xmlns:c16="http://schemas.microsoft.com/office/drawing/2014/chart" uri="{C3380CC4-5D6E-409C-BE32-E72D297353CC}">
              <c16:uniqueId val="{00000000-8EF9-4844-BB90-B5EC72560195}"/>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38832</xdr:colOff>
      <xdr:row>18</xdr:row>
      <xdr:rowOff>31506</xdr:rowOff>
    </xdr:from>
    <xdr:to>
      <xdr:col>12</xdr:col>
      <xdr:colOff>57150</xdr:colOff>
      <xdr:row>37</xdr:row>
      <xdr:rowOff>66675</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10</xdr:row>
      <xdr:rowOff>16852</xdr:rowOff>
    </xdr:from>
    <xdr:to>
      <xdr:col>12</xdr:col>
      <xdr:colOff>590550</xdr:colOff>
      <xdr:row>19</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19</xdr:row>
      <xdr:rowOff>185369</xdr:rowOff>
    </xdr:from>
    <xdr:to>
      <xdr:col>13</xdr:col>
      <xdr:colOff>0</xdr:colOff>
      <xdr:row>33</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I12"/>
  <sheetViews>
    <sheetView tabSelected="1" zoomScaleNormal="100" workbookViewId="0">
      <selection activeCell="C19" sqref="C17:C19"/>
    </sheetView>
  </sheetViews>
  <sheetFormatPr defaultRowHeight="14.5"/>
  <cols>
    <col min="1" max="1" width="12.54296875" customWidth="1"/>
    <col min="2" max="9" width="18" customWidth="1"/>
  </cols>
  <sheetData>
    <row r="1" spans="1:9" ht="15" thickBot="1"/>
    <row r="2" spans="1:9" ht="48">
      <c r="A2" s="6" t="s">
        <v>294</v>
      </c>
      <c r="B2" s="18" t="s">
        <v>270</v>
      </c>
      <c r="C2" s="18" t="s">
        <v>271</v>
      </c>
      <c r="D2" s="18" t="s">
        <v>272</v>
      </c>
      <c r="E2" s="18" t="s">
        <v>273</v>
      </c>
      <c r="F2" s="18" t="s">
        <v>315</v>
      </c>
      <c r="G2" s="18" t="s">
        <v>184</v>
      </c>
      <c r="H2" s="18" t="s">
        <v>274</v>
      </c>
      <c r="I2" s="151" t="s">
        <v>185</v>
      </c>
    </row>
    <row r="3" spans="1:9">
      <c r="A3" s="152"/>
      <c r="B3" s="153" t="s">
        <v>186</v>
      </c>
      <c r="C3" s="153" t="s">
        <v>187</v>
      </c>
      <c r="D3" s="153" t="s">
        <v>188</v>
      </c>
      <c r="E3" s="153" t="s">
        <v>189</v>
      </c>
      <c r="F3" s="153" t="s">
        <v>190</v>
      </c>
      <c r="G3" s="153" t="s">
        <v>191</v>
      </c>
      <c r="H3" s="153" t="s">
        <v>192</v>
      </c>
      <c r="I3" s="154" t="s">
        <v>193</v>
      </c>
    </row>
    <row r="4" spans="1:9" ht="39.75" customHeight="1">
      <c r="A4" s="249" t="s">
        <v>90</v>
      </c>
      <c r="B4" s="237">
        <f>'Ap B - Qtr Electric Master'!L28-'Ap B - Qtr Electric Master'!L26</f>
        <v>2496.3376377491209</v>
      </c>
      <c r="C4" s="248">
        <f>'Ap B - Qtr Electric Master'!L26</f>
        <v>17.082999999999998</v>
      </c>
      <c r="D4" s="17">
        <v>0</v>
      </c>
      <c r="E4" s="237">
        <f>SUM(B4:D4)</f>
        <v>2513.4206377491209</v>
      </c>
      <c r="F4" s="250"/>
      <c r="G4" s="251"/>
      <c r="H4" s="252"/>
      <c r="I4" s="253"/>
    </row>
    <row r="5" spans="1:9" ht="15" thickBot="1">
      <c r="A5" s="238" t="s">
        <v>325</v>
      </c>
      <c r="B5" s="240">
        <f>'Ap B - Qtr Electric Master'!N28-'Ap B - Qtr Electric Master'!N26</f>
        <v>15553.703177022273</v>
      </c>
      <c r="C5" s="239">
        <f>'Ap B - Qtr Electric Master'!N26</f>
        <v>40.863</v>
      </c>
      <c r="D5" s="155">
        <v>0</v>
      </c>
      <c r="E5" s="240">
        <f>SUM(B5:D5)</f>
        <v>15594.566177022272</v>
      </c>
      <c r="F5" s="241">
        <f>'Ap E - NJ CEA Benchmarks'!H12</f>
        <v>1507281.3333333333</v>
      </c>
      <c r="G5" s="156">
        <f>'Ap E - NJ CEA Benchmarks'!M12</f>
        <v>7.4000000000000003E-3</v>
      </c>
      <c r="H5" s="242">
        <f>F5*G5</f>
        <v>11153.881866666667</v>
      </c>
      <c r="I5" s="243">
        <f>E5/H5</f>
        <v>1.3981290427350297</v>
      </c>
    </row>
    <row r="6" spans="1:9" ht="16.5">
      <c r="A6" s="524" t="s">
        <v>313</v>
      </c>
      <c r="B6" s="524"/>
      <c r="C6" s="524"/>
      <c r="D6" s="524"/>
      <c r="E6" s="524"/>
      <c r="F6" s="524"/>
      <c r="G6" s="524"/>
      <c r="H6" s="524"/>
      <c r="I6" s="524"/>
    </row>
    <row r="7" spans="1:9" ht="16.5">
      <c r="A7" s="525" t="s">
        <v>314</v>
      </c>
      <c r="B7" s="525"/>
      <c r="C7" s="525"/>
      <c r="D7" s="525"/>
      <c r="E7" s="525"/>
      <c r="F7" s="525"/>
      <c r="G7" s="525"/>
      <c r="H7" s="525"/>
      <c r="I7" s="525"/>
    </row>
    <row r="8" spans="1:9" ht="15" customHeight="1">
      <c r="A8" s="526" t="s">
        <v>324</v>
      </c>
      <c r="B8" s="526"/>
      <c r="C8" s="526"/>
      <c r="D8" s="526"/>
      <c r="E8" s="526"/>
      <c r="F8" s="526"/>
      <c r="G8" s="526"/>
      <c r="H8" s="526"/>
      <c r="I8" s="526"/>
    </row>
    <row r="9" spans="1:9">
      <c r="A9" s="526"/>
      <c r="B9" s="526"/>
      <c r="C9" s="526"/>
      <c r="D9" s="526"/>
      <c r="E9" s="526"/>
      <c r="F9" s="526"/>
      <c r="G9" s="526"/>
      <c r="H9" s="526"/>
      <c r="I9" s="526"/>
    </row>
    <row r="10" spans="1:9">
      <c r="A10" s="526"/>
      <c r="B10" s="526"/>
      <c r="C10" s="526"/>
      <c r="D10" s="526"/>
      <c r="E10" s="526"/>
      <c r="F10" s="526"/>
      <c r="G10" s="526"/>
      <c r="H10" s="526"/>
      <c r="I10" s="526"/>
    </row>
    <row r="11" spans="1:9">
      <c r="A11" s="526"/>
      <c r="B11" s="526"/>
      <c r="C11" s="526"/>
      <c r="D11" s="526"/>
      <c r="E11" s="526"/>
      <c r="F11" s="526"/>
      <c r="G11" s="526"/>
      <c r="H11" s="526"/>
      <c r="I11" s="526"/>
    </row>
    <row r="12" spans="1:9">
      <c r="A12" s="526"/>
      <c r="B12" s="526"/>
      <c r="C12" s="526"/>
      <c r="D12" s="526"/>
      <c r="E12" s="526"/>
      <c r="F12" s="526"/>
      <c r="G12" s="526"/>
      <c r="H12" s="526"/>
      <c r="I12" s="526"/>
    </row>
  </sheetData>
  <mergeCells count="3">
    <mergeCell ref="A6:I6"/>
    <mergeCell ref="A7:I7"/>
    <mergeCell ref="A8:I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3"/>
  <sheetViews>
    <sheetView topLeftCell="A3" zoomScaleNormal="100" workbookViewId="0">
      <selection activeCell="C23" sqref="C23"/>
    </sheetView>
  </sheetViews>
  <sheetFormatPr defaultColWidth="9.1796875" defaultRowHeight="14"/>
  <cols>
    <col min="1" max="1" width="4.81640625" style="213" customWidth="1"/>
    <col min="2" max="2" width="35" style="213" customWidth="1"/>
    <col min="3" max="3" width="28.1796875" style="213" customWidth="1"/>
    <col min="4" max="4" width="21.453125" style="213" customWidth="1"/>
    <col min="5" max="5" width="28.81640625" style="213" customWidth="1"/>
    <col min="6" max="6" width="9.1796875" style="213"/>
    <col min="7" max="7" width="16.81640625" style="213" customWidth="1"/>
    <col min="8" max="16384" width="9.1796875" style="213"/>
  </cols>
  <sheetData>
    <row r="1" spans="2:19" ht="18">
      <c r="B1" s="212" t="s">
        <v>259</v>
      </c>
    </row>
    <row r="2" spans="2:19" ht="18">
      <c r="B2" s="212"/>
    </row>
    <row r="3" spans="2:19" ht="119.5" customHeight="1">
      <c r="B3" s="574" t="s">
        <v>260</v>
      </c>
      <c r="C3" s="574"/>
      <c r="D3" s="574"/>
      <c r="E3" s="574"/>
      <c r="G3" s="214"/>
      <c r="H3" s="214"/>
      <c r="I3" s="214"/>
      <c r="J3" s="214"/>
      <c r="K3" s="214"/>
      <c r="L3" s="214"/>
      <c r="M3" s="214"/>
      <c r="N3" s="214"/>
      <c r="O3" s="214"/>
      <c r="P3" s="214"/>
      <c r="Q3" s="214"/>
      <c r="R3" s="214"/>
      <c r="S3" s="214"/>
    </row>
    <row r="4" spans="2:19" ht="15.5">
      <c r="B4" s="215"/>
    </row>
    <row r="5" spans="2:19" customFormat="1" ht="14.5">
      <c r="B5" t="s">
        <v>291</v>
      </c>
    </row>
    <row r="6" spans="2:19" customFormat="1" ht="48">
      <c r="B6" s="127" t="s">
        <v>183</v>
      </c>
      <c r="C6" s="128" t="s">
        <v>261</v>
      </c>
      <c r="D6" s="128" t="s">
        <v>125</v>
      </c>
      <c r="E6" s="129" t="s">
        <v>126</v>
      </c>
      <c r="H6" s="130" t="s">
        <v>289</v>
      </c>
      <c r="I6" s="130" t="s">
        <v>290</v>
      </c>
    </row>
    <row r="7" spans="2:19" customFormat="1" ht="14.5">
      <c r="B7" s="131" t="s">
        <v>78</v>
      </c>
      <c r="C7" s="434">
        <f>'Ap B - Qtr Electric Master'!N12</f>
        <v>6829.3069999999989</v>
      </c>
      <c r="D7" s="434">
        <f>'Ap B - Qtr Electric Master'!M12</f>
        <v>4944</v>
      </c>
      <c r="E7" s="432">
        <f>C7/D7</f>
        <v>1.3813323220064722</v>
      </c>
      <c r="G7" s="17" t="s">
        <v>262</v>
      </c>
      <c r="H7" s="216">
        <f>$C$11</f>
        <v>15553.703177022273</v>
      </c>
      <c r="I7" s="216">
        <f>$C$19</f>
        <v>15117.80505024513</v>
      </c>
    </row>
    <row r="8" spans="2:19" customFormat="1" ht="14.5">
      <c r="B8" s="131" t="s">
        <v>26</v>
      </c>
      <c r="C8" s="434">
        <f>'Ap B - Qtr Electric Master'!N19</f>
        <v>0</v>
      </c>
      <c r="D8" s="434">
        <f>'Ap B - Qtr Electric Master'!M19</f>
        <v>346</v>
      </c>
      <c r="E8" s="432">
        <f t="shared" ref="E8:E10" si="0">C8/D8</f>
        <v>0</v>
      </c>
      <c r="G8" s="17" t="s">
        <v>263</v>
      </c>
      <c r="H8" s="132">
        <f>'Ap B - Qtr Electric Master'!S12+'Ap B - Qtr Electric Master'!S17+'Ap B - Qtr Electric Master'!S19+'Ap B - Qtr Electric Master'!S24</f>
        <v>176796.17600000001</v>
      </c>
      <c r="I8" s="449">
        <v>132152.08719809647</v>
      </c>
    </row>
    <row r="9" spans="2:19" customFormat="1" ht="14.5">
      <c r="B9" s="131" t="s">
        <v>115</v>
      </c>
      <c r="C9" s="434">
        <f>'Ap B - Qtr Electric Master'!N17</f>
        <v>8680.4629999999997</v>
      </c>
      <c r="D9" s="434">
        <f>'Ap B - Qtr Electric Master'!M17</f>
        <v>6337</v>
      </c>
      <c r="E9" s="432">
        <f t="shared" si="0"/>
        <v>1.3698063752564305</v>
      </c>
      <c r="G9" t="s">
        <v>264</v>
      </c>
    </row>
    <row r="10" spans="2:19" customFormat="1" ht="14.5">
      <c r="B10" s="9" t="s">
        <v>57</v>
      </c>
      <c r="C10" s="434">
        <f>'Ap B - Qtr Electric Master'!N23</f>
        <v>43.933177022274329</v>
      </c>
      <c r="D10" s="434">
        <f>'Ap B - Qtr Electric Master'!M23</f>
        <v>1021.1019929660024</v>
      </c>
      <c r="E10" s="432">
        <f t="shared" si="0"/>
        <v>4.3025258323765789E-2</v>
      </c>
    </row>
    <row r="11" spans="2:19" customFormat="1" ht="29">
      <c r="B11" s="134" t="s">
        <v>116</v>
      </c>
      <c r="C11" s="435">
        <f>SUM(C7:C10)</f>
        <v>15553.703177022273</v>
      </c>
      <c r="D11" s="435">
        <f>SUM(D7:D10)</f>
        <v>12648.101992966003</v>
      </c>
      <c r="E11" s="433">
        <f>C11/D11</f>
        <v>1.2297262613530602</v>
      </c>
    </row>
    <row r="12" spans="2:19" customFormat="1" ht="14.5"/>
    <row r="13" spans="2:19" customFormat="1" ht="14.5">
      <c r="B13" t="s">
        <v>292</v>
      </c>
    </row>
    <row r="14" spans="2:19" customFormat="1" ht="24">
      <c r="B14" s="127" t="s">
        <v>183</v>
      </c>
      <c r="C14" s="128" t="s">
        <v>261</v>
      </c>
      <c r="D14" s="128" t="s">
        <v>125</v>
      </c>
      <c r="E14" s="129" t="s">
        <v>126</v>
      </c>
    </row>
    <row r="15" spans="2:19" customFormat="1" ht="14.5">
      <c r="B15" s="131" t="s">
        <v>78</v>
      </c>
      <c r="C15" s="434">
        <v>6393.4086620877051</v>
      </c>
      <c r="D15" s="434">
        <f>'Ap B - Qtr Electric Master'!M12</f>
        <v>4944</v>
      </c>
      <c r="E15" s="432">
        <f>C15/D15</f>
        <v>1.2931651824611055</v>
      </c>
    </row>
    <row r="16" spans="2:19" customFormat="1" ht="14.5">
      <c r="B16" s="131" t="s">
        <v>26</v>
      </c>
      <c r="C16" s="434">
        <v>0</v>
      </c>
      <c r="D16" s="434">
        <f>'Ap B - Qtr Electric Master'!M19</f>
        <v>346</v>
      </c>
      <c r="E16" s="432">
        <f t="shared" ref="E16:E17" si="1">C16/D16</f>
        <v>0</v>
      </c>
    </row>
    <row r="17" spans="2:7" customFormat="1" ht="14.5">
      <c r="B17" s="131" t="s">
        <v>115</v>
      </c>
      <c r="C17" s="434">
        <v>8680.4632111351511</v>
      </c>
      <c r="D17" s="434">
        <f>'Ap B - Qtr Electric Master'!M17</f>
        <v>6337</v>
      </c>
      <c r="E17" s="432">
        <f t="shared" si="1"/>
        <v>1.3698064085742703</v>
      </c>
    </row>
    <row r="18" spans="2:7" customFormat="1" ht="14.5">
      <c r="B18" s="9" t="s">
        <v>57</v>
      </c>
      <c r="C18" s="434">
        <f>'Ap B - Qtr Electric Master'!N23</f>
        <v>43.933177022274329</v>
      </c>
      <c r="D18" s="434">
        <f>'Ap B - Qtr Electric Master'!M23</f>
        <v>1021.1019929660024</v>
      </c>
      <c r="E18" s="432">
        <f t="shared" ref="E18" si="2">C18/D18</f>
        <v>4.3025258323765789E-2</v>
      </c>
    </row>
    <row r="19" spans="2:7" customFormat="1" ht="29">
      <c r="B19" s="134" t="s">
        <v>116</v>
      </c>
      <c r="C19" s="435">
        <f>SUM(C15:C18)</f>
        <v>15117.80505024513</v>
      </c>
      <c r="D19" s="435">
        <f>SUM(D15:D18)</f>
        <v>12648.101992966003</v>
      </c>
      <c r="E19" s="433">
        <f>C19/D19</f>
        <v>1.1952627405007172</v>
      </c>
    </row>
    <row r="20" spans="2:7" customFormat="1" ht="14.5" customHeight="1">
      <c r="B20" s="575" t="s">
        <v>355</v>
      </c>
      <c r="C20" s="575"/>
      <c r="D20" s="575"/>
      <c r="E20" s="575"/>
      <c r="G20" t="s">
        <v>265</v>
      </c>
    </row>
    <row r="21" spans="2:7" customFormat="1" ht="37.5" customHeight="1">
      <c r="B21" s="576"/>
      <c r="C21" s="576"/>
      <c r="D21" s="576"/>
      <c r="E21" s="576"/>
    </row>
    <row r="22" spans="2:7" customFormat="1" ht="14.5">
      <c r="B22" s="217"/>
      <c r="C22" s="157"/>
      <c r="D22" s="157"/>
      <c r="E22" s="157"/>
    </row>
    <row r="23" spans="2:7" customFormat="1" ht="14.5">
      <c r="B23" s="160"/>
      <c r="C23" s="35"/>
      <c r="D23" s="35"/>
      <c r="E23" s="218"/>
    </row>
    <row r="24" spans="2:7" customFormat="1" ht="14.5">
      <c r="B24" s="160"/>
      <c r="C24" s="35"/>
      <c r="D24" s="35"/>
      <c r="E24" s="218"/>
    </row>
    <row r="25" spans="2:7" customFormat="1" ht="14.5">
      <c r="B25" s="160"/>
      <c r="C25" s="35"/>
      <c r="D25" s="35"/>
      <c r="E25" s="218"/>
    </row>
    <row r="26" spans="2:7" customFormat="1" ht="14.5">
      <c r="B26" s="160"/>
      <c r="C26" s="35"/>
      <c r="D26" s="35"/>
      <c r="E26" s="218"/>
    </row>
    <row r="27" spans="2:7" customFormat="1" ht="14.5">
      <c r="B27" s="160"/>
      <c r="C27" s="35"/>
      <c r="D27" s="35"/>
      <c r="E27" s="218"/>
    </row>
    <row r="28" spans="2:7" customFormat="1" ht="14.5">
      <c r="B28" s="160"/>
      <c r="C28" s="35"/>
      <c r="D28" s="35"/>
      <c r="E28" s="218"/>
    </row>
    <row r="29" spans="2:7" customFormat="1" ht="14.5">
      <c r="B29" s="160"/>
      <c r="C29" s="35"/>
      <c r="D29" s="35"/>
      <c r="E29" s="218"/>
    </row>
    <row r="30" spans="2:7" customFormat="1" ht="14.5">
      <c r="B30" s="160"/>
      <c r="C30" s="35"/>
      <c r="D30" s="35"/>
      <c r="E30" s="218"/>
    </row>
    <row r="31" spans="2:7" customFormat="1" ht="14.5">
      <c r="B31" s="160"/>
      <c r="C31" s="35"/>
      <c r="D31" s="35"/>
      <c r="E31" s="218"/>
    </row>
    <row r="32" spans="2:7" customFormat="1" ht="14.5"/>
    <row r="33" customFormat="1" ht="14.5"/>
  </sheetData>
  <mergeCells count="2">
    <mergeCell ref="B3:E3"/>
    <mergeCell ref="B20:E21"/>
  </mergeCells>
  <pageMargins left="0.45" right="0.45"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9"/>
  <sheetViews>
    <sheetView zoomScaleNormal="100" workbookViewId="0">
      <selection activeCell="B5" sqref="B5:C9"/>
    </sheetView>
  </sheetViews>
  <sheetFormatPr defaultColWidth="9.1796875" defaultRowHeight="14"/>
  <cols>
    <col min="1" max="1" width="4.1796875" style="213" customWidth="1"/>
    <col min="2" max="2" width="29.453125" style="213" customWidth="1"/>
    <col min="3" max="3" width="36.453125" style="213" customWidth="1"/>
    <col min="4" max="4" width="28" style="213" customWidth="1"/>
    <col min="5" max="16384" width="9.1796875" style="213"/>
  </cols>
  <sheetData>
    <row r="1" spans="2:4" ht="18">
      <c r="B1" s="212" t="s">
        <v>269</v>
      </c>
    </row>
    <row r="2" spans="2:4" ht="18">
      <c r="B2" s="212"/>
    </row>
    <row r="3" spans="2:4" ht="97.4" customHeight="1">
      <c r="B3" s="577" t="s">
        <v>266</v>
      </c>
      <c r="C3" s="577"/>
      <c r="D3" s="577"/>
    </row>
    <row r="5" spans="2:4" ht="21" customHeight="1">
      <c r="B5" s="578" t="s">
        <v>351</v>
      </c>
      <c r="C5" s="578"/>
      <c r="D5" s="219"/>
    </row>
    <row r="6" spans="2:4" ht="18" customHeight="1">
      <c r="B6" s="220" t="s">
        <v>75</v>
      </c>
      <c r="C6" s="221" t="s">
        <v>276</v>
      </c>
      <c r="D6" s="222"/>
    </row>
    <row r="7" spans="2:4" ht="18" customHeight="1">
      <c r="B7" s="223" t="s">
        <v>352</v>
      </c>
      <c r="C7" s="431">
        <v>3338.6</v>
      </c>
      <c r="D7" s="224"/>
    </row>
    <row r="8" spans="2:4" ht="18" customHeight="1">
      <c r="B8" s="223" t="s">
        <v>21</v>
      </c>
      <c r="C8" s="431">
        <v>750.5</v>
      </c>
      <c r="D8" s="224"/>
    </row>
    <row r="9" spans="2:4" ht="18" customHeight="1">
      <c r="B9" s="223" t="s">
        <v>267</v>
      </c>
      <c r="C9" s="431">
        <f>SUM(C7:C8)</f>
        <v>4089.1</v>
      </c>
      <c r="D9" s="224"/>
    </row>
  </sheetData>
  <mergeCells count="2">
    <mergeCell ref="B3:D3"/>
    <mergeCell ref="B5:C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68"/>
  <sheetViews>
    <sheetView topLeftCell="A35" zoomScaleNormal="100" workbookViewId="0">
      <selection activeCell="L53" sqref="L53"/>
    </sheetView>
  </sheetViews>
  <sheetFormatPr defaultRowHeight="14.5"/>
  <cols>
    <col min="2" max="2" width="60.81640625" customWidth="1"/>
    <col min="3" max="7" width="10.81640625" customWidth="1"/>
  </cols>
  <sheetData>
    <row r="1" spans="1:7">
      <c r="A1" s="229" t="s">
        <v>268</v>
      </c>
    </row>
    <row r="2" spans="1:7" ht="15" thickBot="1"/>
    <row r="3" spans="1:7" ht="29">
      <c r="A3" s="225"/>
      <c r="B3" s="226"/>
      <c r="C3" s="140" t="s">
        <v>78</v>
      </c>
      <c r="D3" s="141" t="s">
        <v>146</v>
      </c>
      <c r="E3" s="141" t="s">
        <v>147</v>
      </c>
      <c r="F3" s="141" t="s">
        <v>148</v>
      </c>
      <c r="G3" s="142" t="s">
        <v>149</v>
      </c>
    </row>
    <row r="4" spans="1:7" s="230" customFormat="1">
      <c r="A4" s="227" t="s">
        <v>150</v>
      </c>
      <c r="B4" s="145"/>
      <c r="C4" s="144"/>
      <c r="D4" s="143"/>
      <c r="E4" s="143"/>
      <c r="F4" s="143"/>
      <c r="G4" s="145"/>
    </row>
    <row r="5" spans="1:7" s="230" customFormat="1">
      <c r="A5" s="146">
        <v>1</v>
      </c>
      <c r="B5" s="147" t="s">
        <v>151</v>
      </c>
      <c r="C5" s="261">
        <v>3123657.9516952396</v>
      </c>
      <c r="D5" s="262">
        <v>3914650.6376118478</v>
      </c>
      <c r="E5" s="262">
        <v>0</v>
      </c>
      <c r="F5" s="262">
        <v>0</v>
      </c>
      <c r="G5" s="263">
        <f>SUM(C5:F5)</f>
        <v>7038308.5893070875</v>
      </c>
    </row>
    <row r="6" spans="1:7" s="230" customFormat="1">
      <c r="A6" s="146">
        <v>2</v>
      </c>
      <c r="B6" s="147" t="s">
        <v>152</v>
      </c>
      <c r="C6" s="261">
        <v>320339.14206139703</v>
      </c>
      <c r="D6" s="262">
        <v>1605342.7510930421</v>
      </c>
      <c r="E6" s="262">
        <v>0</v>
      </c>
      <c r="F6" s="262">
        <v>0</v>
      </c>
      <c r="G6" s="263">
        <f t="shared" ref="G6:G12" si="0">SUM(C6:F6)</f>
        <v>1925681.8931544391</v>
      </c>
    </row>
    <row r="7" spans="1:7" s="230" customFormat="1">
      <c r="A7" s="146">
        <v>3</v>
      </c>
      <c r="B7" s="147" t="s">
        <v>153</v>
      </c>
      <c r="C7" s="261">
        <v>0</v>
      </c>
      <c r="D7" s="262">
        <v>0</v>
      </c>
      <c r="E7" s="262">
        <v>0</v>
      </c>
      <c r="F7" s="262">
        <v>0</v>
      </c>
      <c r="G7" s="263">
        <f t="shared" si="0"/>
        <v>0</v>
      </c>
    </row>
    <row r="8" spans="1:7" s="230" customFormat="1">
      <c r="A8" s="146">
        <v>4</v>
      </c>
      <c r="B8" s="147" t="s">
        <v>154</v>
      </c>
      <c r="C8" s="261">
        <v>89647.938325103998</v>
      </c>
      <c r="D8" s="262">
        <v>112352.28115978678</v>
      </c>
      <c r="E8" s="262">
        <v>0</v>
      </c>
      <c r="F8" s="262">
        <v>0</v>
      </c>
      <c r="G8" s="263">
        <f t="shared" si="0"/>
        <v>202000.21948489078</v>
      </c>
    </row>
    <row r="9" spans="1:7" s="230" customFormat="1">
      <c r="A9" s="146">
        <v>5</v>
      </c>
      <c r="B9" s="147" t="s">
        <v>155</v>
      </c>
      <c r="C9" s="261">
        <v>0</v>
      </c>
      <c r="D9" s="262">
        <v>0</v>
      </c>
      <c r="E9" s="262">
        <v>0</v>
      </c>
      <c r="F9" s="262">
        <v>0</v>
      </c>
      <c r="G9" s="263">
        <f t="shared" si="0"/>
        <v>0</v>
      </c>
    </row>
    <row r="10" spans="1:7" s="230" customFormat="1">
      <c r="A10" s="146">
        <v>6</v>
      </c>
      <c r="B10" s="147" t="s">
        <v>156</v>
      </c>
      <c r="C10" s="261">
        <v>0</v>
      </c>
      <c r="D10" s="262">
        <v>0</v>
      </c>
      <c r="E10" s="262">
        <v>0</v>
      </c>
      <c r="F10" s="262">
        <v>0</v>
      </c>
      <c r="G10" s="263">
        <f t="shared" si="0"/>
        <v>0</v>
      </c>
    </row>
    <row r="11" spans="1:7" s="230" customFormat="1">
      <c r="A11" s="146">
        <v>7</v>
      </c>
      <c r="B11" s="147" t="s">
        <v>157</v>
      </c>
      <c r="C11" s="261">
        <v>0</v>
      </c>
      <c r="D11" s="262">
        <v>0</v>
      </c>
      <c r="E11" s="262">
        <v>0</v>
      </c>
      <c r="F11" s="262">
        <v>0</v>
      </c>
      <c r="G11" s="263">
        <f t="shared" si="0"/>
        <v>0</v>
      </c>
    </row>
    <row r="12" spans="1:7" s="230" customFormat="1">
      <c r="A12" s="146">
        <v>8</v>
      </c>
      <c r="B12" s="147" t="s">
        <v>158</v>
      </c>
      <c r="C12" s="261">
        <v>299037.9780941676</v>
      </c>
      <c r="D12" s="262">
        <v>1539349.3790350039</v>
      </c>
      <c r="E12" s="262">
        <v>0</v>
      </c>
      <c r="F12" s="262">
        <v>0</v>
      </c>
      <c r="G12" s="263">
        <f t="shared" si="0"/>
        <v>1838387.3571291715</v>
      </c>
    </row>
    <row r="13" spans="1:7" s="230" customFormat="1">
      <c r="A13" s="146"/>
      <c r="B13" s="148" t="s">
        <v>159</v>
      </c>
      <c r="C13" s="450">
        <f>SUM(C5:C12)</f>
        <v>3832683.010175908</v>
      </c>
      <c r="D13" s="451">
        <f>SUM(D5:D12)</f>
        <v>7171695.0488996804</v>
      </c>
      <c r="E13" s="451">
        <f t="shared" ref="E13:F13" si="1">SUM(E5:E12)</f>
        <v>0</v>
      </c>
      <c r="F13" s="451">
        <f t="shared" si="1"/>
        <v>0</v>
      </c>
      <c r="G13" s="452">
        <f>SUM(G5:G12)</f>
        <v>11004378.059075588</v>
      </c>
    </row>
    <row r="14" spans="1:7" s="230" customFormat="1">
      <c r="A14" s="146">
        <v>9</v>
      </c>
      <c r="B14" s="147" t="s">
        <v>160</v>
      </c>
      <c r="C14" s="261">
        <v>5650630.2137987278</v>
      </c>
      <c r="D14" s="262">
        <v>2680286.4325943454</v>
      </c>
      <c r="E14" s="262">
        <v>0</v>
      </c>
      <c r="F14" s="262">
        <v>0</v>
      </c>
      <c r="G14" s="263">
        <f>SUM(C14:F14)</f>
        <v>8330916.6463930737</v>
      </c>
    </row>
    <row r="15" spans="1:7" s="230" customFormat="1">
      <c r="A15" s="146">
        <v>10</v>
      </c>
      <c r="B15" s="147" t="s">
        <v>161</v>
      </c>
      <c r="C15" s="261">
        <v>323988.24</v>
      </c>
      <c r="D15" s="262">
        <v>244405.50999999998</v>
      </c>
      <c r="E15" s="262">
        <v>35229.629999999997</v>
      </c>
      <c r="F15" s="262">
        <v>105699.84</v>
      </c>
      <c r="G15" s="263">
        <f t="shared" ref="G15" si="2">SUM(C15:F15)</f>
        <v>709323.22</v>
      </c>
    </row>
    <row r="16" spans="1:7" s="230" customFormat="1">
      <c r="A16" s="146">
        <v>11</v>
      </c>
      <c r="B16" s="147" t="s">
        <v>162</v>
      </c>
      <c r="C16" s="261">
        <v>202917.31099999999</v>
      </c>
      <c r="D16" s="262">
        <v>278285.58</v>
      </c>
      <c r="E16" s="262">
        <v>17262.789999999997</v>
      </c>
      <c r="F16" s="262">
        <v>159255.65999999997</v>
      </c>
      <c r="G16" s="263">
        <f>SUM(C16:F16)</f>
        <v>657721.34100000001</v>
      </c>
    </row>
    <row r="17" spans="1:7" s="230" customFormat="1">
      <c r="A17" s="146"/>
      <c r="B17" s="148" t="s">
        <v>163</v>
      </c>
      <c r="C17" s="450">
        <f>SUM(C14:C16)</f>
        <v>6177535.7647987278</v>
      </c>
      <c r="D17" s="451">
        <f>SUM(D14:D16)</f>
        <v>3202977.5225943453</v>
      </c>
      <c r="E17" s="451">
        <f t="shared" ref="E17:F17" si="3">SUM(E14:E16)</f>
        <v>52492.42</v>
      </c>
      <c r="F17" s="451">
        <f t="shared" si="3"/>
        <v>264955.5</v>
      </c>
      <c r="G17" s="452">
        <f>SUM(G14:G16)</f>
        <v>9697961.2073930744</v>
      </c>
    </row>
    <row r="18" spans="1:7" s="230" customFormat="1">
      <c r="A18" s="146"/>
      <c r="B18" s="148" t="s">
        <v>164</v>
      </c>
      <c r="C18" s="453">
        <f>IFERROR(C13/C17, "n/a")</f>
        <v>0.62042263389482488</v>
      </c>
      <c r="D18" s="454">
        <f t="shared" ref="D18" si="4">IFERROR(D13/D17, "n/a")</f>
        <v>2.2390713010969732</v>
      </c>
      <c r="E18" s="454">
        <f>IFERROR(E13/E17, "n/a")</f>
        <v>0</v>
      </c>
      <c r="F18" s="454">
        <f t="shared" ref="F18:G18" si="5">IFERROR(F13/F17, "n/a")</f>
        <v>0</v>
      </c>
      <c r="G18" s="455">
        <f t="shared" si="5"/>
        <v>1.1347104637505241</v>
      </c>
    </row>
    <row r="19" spans="1:7" s="230" customFormat="1">
      <c r="A19" s="146"/>
      <c r="B19" s="147"/>
      <c r="C19" s="146"/>
      <c r="D19"/>
      <c r="E19"/>
      <c r="F19"/>
      <c r="G19" s="147"/>
    </row>
    <row r="20" spans="1:7" s="230" customFormat="1">
      <c r="A20" s="227" t="s">
        <v>165</v>
      </c>
      <c r="B20" s="145"/>
      <c r="C20" s="144"/>
      <c r="D20" s="143"/>
      <c r="E20" s="143"/>
      <c r="F20" s="143"/>
      <c r="G20" s="145"/>
    </row>
    <row r="21" spans="1:7" s="230" customFormat="1">
      <c r="A21" s="146">
        <v>12</v>
      </c>
      <c r="B21" s="147" t="s">
        <v>166</v>
      </c>
      <c r="C21" s="261">
        <v>761177.25448560005</v>
      </c>
      <c r="D21" s="262">
        <v>2263501.6892640004</v>
      </c>
      <c r="E21" s="262">
        <v>0</v>
      </c>
      <c r="F21" s="262">
        <v>0</v>
      </c>
      <c r="G21" s="263">
        <f t="shared" ref="G21:G22" si="6">SUM(C21:F21)</f>
        <v>3024678.9437496006</v>
      </c>
    </row>
    <row r="22" spans="1:7" s="230" customFormat="1">
      <c r="A22" s="146">
        <v>13</v>
      </c>
      <c r="B22" s="147" t="s">
        <v>167</v>
      </c>
      <c r="C22" s="261">
        <v>5797718.7405899027</v>
      </c>
      <c r="D22" s="262">
        <v>7265854.2374100396</v>
      </c>
      <c r="E22" s="262">
        <v>0</v>
      </c>
      <c r="F22" s="262">
        <v>0</v>
      </c>
      <c r="G22" s="263">
        <f t="shared" si="6"/>
        <v>13063572.977999942</v>
      </c>
    </row>
    <row r="23" spans="1:7" s="230" customFormat="1">
      <c r="A23" s="146"/>
      <c r="B23" s="148" t="s">
        <v>331</v>
      </c>
      <c r="C23" s="453">
        <f>IFERROR(SUM(C16,C21:C22)/(C$14+C16), "n/a")</f>
        <v>1.1551650135971188</v>
      </c>
      <c r="D23" s="454">
        <f t="shared" ref="D23:G23" si="7">IFERROR(SUM(D16,D21:D22)/(D$14+D16), "n/a")</f>
        <v>3.3149916462820204</v>
      </c>
      <c r="E23" s="454">
        <f t="shared" si="7"/>
        <v>1</v>
      </c>
      <c r="F23" s="454">
        <f t="shared" si="7"/>
        <v>1</v>
      </c>
      <c r="G23" s="455">
        <f t="shared" si="7"/>
        <v>1.8630156522307879</v>
      </c>
    </row>
    <row r="24" spans="1:7" s="230" customFormat="1">
      <c r="A24" s="146"/>
      <c r="B24" s="147"/>
      <c r="C24" s="146"/>
      <c r="D24"/>
      <c r="E24"/>
      <c r="F24"/>
      <c r="G24" s="147"/>
    </row>
    <row r="25" spans="1:7" s="230" customFormat="1">
      <c r="A25" s="227" t="s">
        <v>168</v>
      </c>
      <c r="B25" s="145"/>
      <c r="C25" s="144"/>
      <c r="D25" s="143"/>
      <c r="E25" s="143"/>
      <c r="F25" s="143"/>
      <c r="G25" s="145"/>
    </row>
    <row r="26" spans="1:7" s="230" customFormat="1">
      <c r="A26" s="146"/>
      <c r="B26" s="148" t="s">
        <v>169</v>
      </c>
      <c r="C26" s="453">
        <f>IFERROR(SUM(C5:C12)/SUM(C15,C16,C22),"n/a")</f>
        <v>0.60599378452762398</v>
      </c>
      <c r="D26" s="454">
        <f t="shared" ref="D26:G26" si="8">IFERROR(SUM(D5:D12)/SUM(D15,D16,D22),"n/a")</f>
        <v>0.92080032245052323</v>
      </c>
      <c r="E26" s="454">
        <f t="shared" si="8"/>
        <v>0</v>
      </c>
      <c r="F26" s="454">
        <f t="shared" si="8"/>
        <v>0</v>
      </c>
      <c r="G26" s="455">
        <f t="shared" si="8"/>
        <v>0.76257152747173451</v>
      </c>
    </row>
    <row r="27" spans="1:7" s="230" customFormat="1">
      <c r="A27" s="146"/>
      <c r="B27" s="147"/>
      <c r="C27" s="146"/>
      <c r="D27"/>
      <c r="E27"/>
      <c r="F27"/>
      <c r="G27" s="147"/>
    </row>
    <row r="28" spans="1:7" s="230" customFormat="1">
      <c r="A28" s="227" t="s">
        <v>170</v>
      </c>
      <c r="B28" s="145"/>
      <c r="C28" s="144"/>
      <c r="D28" s="143"/>
      <c r="E28" s="143"/>
      <c r="F28" s="143"/>
      <c r="G28" s="145"/>
    </row>
    <row r="29" spans="1:7" s="230" customFormat="1">
      <c r="A29" s="146">
        <v>14</v>
      </c>
      <c r="B29" s="147" t="s">
        <v>332</v>
      </c>
      <c r="C29" s="261">
        <v>3743035.0718508046</v>
      </c>
      <c r="D29" s="262">
        <v>7059342.7677398939</v>
      </c>
      <c r="E29" s="262">
        <v>0</v>
      </c>
      <c r="F29" s="262">
        <v>0</v>
      </c>
      <c r="G29" s="263">
        <f t="shared" ref="G29:G30" si="9">SUM(C29:F29)</f>
        <v>10802377.839590698</v>
      </c>
    </row>
    <row r="30" spans="1:7" s="230" customFormat="1">
      <c r="A30" s="146">
        <v>15</v>
      </c>
      <c r="B30" s="147" t="s">
        <v>171</v>
      </c>
      <c r="C30" s="261">
        <v>7085801.5460755024</v>
      </c>
      <c r="D30" s="262">
        <v>10052047.01667404</v>
      </c>
      <c r="E30" s="262">
        <v>52492.42</v>
      </c>
      <c r="F30" s="262">
        <v>264955.5</v>
      </c>
      <c r="G30" s="263">
        <f t="shared" si="9"/>
        <v>17455296.482749544</v>
      </c>
    </row>
    <row r="31" spans="1:7" s="230" customFormat="1">
      <c r="A31" s="146"/>
      <c r="B31" s="148" t="s">
        <v>172</v>
      </c>
      <c r="C31" s="458">
        <f t="shared" ref="C31:D31" si="10">IFERROR(C29/C30, "n/a")</f>
        <v>0.52824441208403561</v>
      </c>
      <c r="D31" s="456">
        <f t="shared" si="10"/>
        <v>0.70227912344919041</v>
      </c>
      <c r="E31" s="456">
        <f>IFERROR(E29/E30, "n/a")</f>
        <v>0</v>
      </c>
      <c r="F31" s="456">
        <f t="shared" ref="F31:G31" si="11">IFERROR(F29/F30, "n/a")</f>
        <v>0</v>
      </c>
      <c r="G31" s="457">
        <f t="shared" si="11"/>
        <v>0.61885960231419213</v>
      </c>
    </row>
    <row r="32" spans="1:7" s="230" customFormat="1">
      <c r="A32" s="227" t="s">
        <v>333</v>
      </c>
      <c r="B32" s="145"/>
      <c r="C32" s="144"/>
      <c r="D32" s="143"/>
      <c r="E32" s="143"/>
      <c r="F32" s="459"/>
      <c r="G32" s="461"/>
    </row>
    <row r="33" spans="1:7" s="230" customFormat="1">
      <c r="A33" s="146">
        <v>16</v>
      </c>
      <c r="B33" s="147" t="s">
        <v>151</v>
      </c>
      <c r="C33" s="261">
        <v>3123657.9516952401</v>
      </c>
      <c r="D33" s="262">
        <v>3914650.6376118478</v>
      </c>
      <c r="E33" s="262">
        <v>0</v>
      </c>
      <c r="F33" s="460">
        <v>0</v>
      </c>
      <c r="G33" s="263">
        <f>SUM(C33:F33)</f>
        <v>7038308.5893070884</v>
      </c>
    </row>
    <row r="34" spans="1:7" s="230" customFormat="1">
      <c r="A34" s="146">
        <v>17</v>
      </c>
      <c r="B34" s="147" t="s">
        <v>152</v>
      </c>
      <c r="C34" s="261">
        <v>320339.14206139703</v>
      </c>
      <c r="D34" s="262">
        <v>1605342.7510930421</v>
      </c>
      <c r="E34" s="262">
        <v>0</v>
      </c>
      <c r="F34" s="460">
        <v>0</v>
      </c>
      <c r="G34" s="263">
        <f t="shared" ref="G34:G40" si="12">SUM(C34:F34)</f>
        <v>1925681.8931544391</v>
      </c>
    </row>
    <row r="35" spans="1:7" s="230" customFormat="1">
      <c r="A35" s="146">
        <v>18</v>
      </c>
      <c r="B35" s="147" t="s">
        <v>153</v>
      </c>
      <c r="C35" s="261">
        <v>0</v>
      </c>
      <c r="D35" s="262">
        <v>0</v>
      </c>
      <c r="E35" s="262">
        <v>0</v>
      </c>
      <c r="F35" s="460">
        <v>0</v>
      </c>
      <c r="G35" s="263">
        <f t="shared" si="12"/>
        <v>0</v>
      </c>
    </row>
    <row r="36" spans="1:7" s="230" customFormat="1">
      <c r="A36" s="146">
        <v>19</v>
      </c>
      <c r="B36" s="147" t="s">
        <v>154</v>
      </c>
      <c r="C36" s="261">
        <v>0</v>
      </c>
      <c r="D36" s="262">
        <v>0</v>
      </c>
      <c r="E36" s="262">
        <v>0</v>
      </c>
      <c r="F36" s="460">
        <v>0</v>
      </c>
      <c r="G36" s="263">
        <f t="shared" si="12"/>
        <v>0</v>
      </c>
    </row>
    <row r="37" spans="1:7" s="230" customFormat="1">
      <c r="A37" s="146">
        <v>20</v>
      </c>
      <c r="B37" s="147" t="s">
        <v>155</v>
      </c>
      <c r="C37" s="261">
        <v>0</v>
      </c>
      <c r="D37" s="262">
        <v>0</v>
      </c>
      <c r="E37" s="262">
        <v>0</v>
      </c>
      <c r="F37" s="460">
        <v>0</v>
      </c>
      <c r="G37" s="263">
        <f t="shared" si="12"/>
        <v>0</v>
      </c>
    </row>
    <row r="38" spans="1:7" s="230" customFormat="1">
      <c r="A38" s="146">
        <v>21</v>
      </c>
      <c r="B38" s="147" t="s">
        <v>334</v>
      </c>
      <c r="C38" s="261">
        <v>0</v>
      </c>
      <c r="D38" s="262">
        <v>0</v>
      </c>
      <c r="E38" s="262">
        <v>0</v>
      </c>
      <c r="F38" s="460">
        <v>0</v>
      </c>
      <c r="G38" s="263">
        <f t="shared" si="12"/>
        <v>0</v>
      </c>
    </row>
    <row r="39" spans="1:7" s="230" customFormat="1">
      <c r="A39" s="146">
        <v>22</v>
      </c>
      <c r="B39" s="147" t="s">
        <v>158</v>
      </c>
      <c r="C39" s="261">
        <v>299037.9780941676</v>
      </c>
      <c r="D39" s="262">
        <v>1539349.3790350039</v>
      </c>
      <c r="E39" s="262">
        <v>0</v>
      </c>
      <c r="F39" s="460">
        <v>0</v>
      </c>
      <c r="G39" s="263">
        <f t="shared" si="12"/>
        <v>1838387.3571291715</v>
      </c>
    </row>
    <row r="40" spans="1:7" s="230" customFormat="1">
      <c r="A40" s="146">
        <v>23</v>
      </c>
      <c r="B40" s="147" t="s">
        <v>335</v>
      </c>
      <c r="C40" s="261">
        <v>3330189.966516932</v>
      </c>
      <c r="D40" s="262">
        <v>4173482.0128814154</v>
      </c>
      <c r="E40" s="262">
        <v>0</v>
      </c>
      <c r="F40" s="460">
        <v>0</v>
      </c>
      <c r="G40" s="263">
        <f t="shared" si="12"/>
        <v>7503671.9793983474</v>
      </c>
    </row>
    <row r="41" spans="1:7" s="230" customFormat="1">
      <c r="A41" s="146">
        <v>24</v>
      </c>
      <c r="B41" s="147" t="s">
        <v>336</v>
      </c>
      <c r="C41" s="261">
        <v>0</v>
      </c>
      <c r="D41" s="262">
        <v>0</v>
      </c>
      <c r="E41" s="262">
        <v>0</v>
      </c>
      <c r="F41" s="460">
        <v>0</v>
      </c>
      <c r="G41" s="462">
        <f>SUM(C41:F41)</f>
        <v>0</v>
      </c>
    </row>
    <row r="42" spans="1:7" s="230" customFormat="1">
      <c r="A42" s="146"/>
      <c r="B42" s="148" t="s">
        <v>337</v>
      </c>
      <c r="C42" s="463">
        <f>SUM(C33:C41)</f>
        <v>7073225.0383677371</v>
      </c>
      <c r="D42" s="464">
        <f>SUM(D33:D41)</f>
        <v>11232824.780621309</v>
      </c>
      <c r="E42" s="464">
        <f t="shared" ref="E42:F42" si="13">SUM(E33:E41)</f>
        <v>0</v>
      </c>
      <c r="F42" s="464">
        <f t="shared" si="13"/>
        <v>0</v>
      </c>
      <c r="G42" s="465">
        <f>SUM(G33:G41)</f>
        <v>18306049.818989046</v>
      </c>
    </row>
    <row r="43" spans="1:7" s="230" customFormat="1">
      <c r="A43" s="146">
        <v>25</v>
      </c>
      <c r="B43" s="147" t="s">
        <v>160</v>
      </c>
      <c r="C43" s="261">
        <v>5650630.2137987278</v>
      </c>
      <c r="D43" s="262">
        <v>2680286.4325943454</v>
      </c>
      <c r="E43" s="262">
        <v>0</v>
      </c>
      <c r="F43" s="460">
        <v>0</v>
      </c>
      <c r="G43" s="263">
        <f>SUM(C43:F43)</f>
        <v>8330916.6463930737</v>
      </c>
    </row>
    <row r="44" spans="1:7" s="230" customFormat="1">
      <c r="A44" s="146">
        <v>26</v>
      </c>
      <c r="B44" s="147" t="s">
        <v>161</v>
      </c>
      <c r="C44" s="261">
        <v>323988.24</v>
      </c>
      <c r="D44" s="262">
        <v>244405.50999999998</v>
      </c>
      <c r="E44" s="262">
        <v>35229.629999999997</v>
      </c>
      <c r="F44" s="460">
        <v>105699.84</v>
      </c>
      <c r="G44" s="263">
        <f t="shared" ref="G44" si="14">SUM(C44:F44)</f>
        <v>709323.22</v>
      </c>
    </row>
    <row r="45" spans="1:7" s="230" customFormat="1">
      <c r="A45" s="146">
        <v>27</v>
      </c>
      <c r="B45" s="147" t="s">
        <v>162</v>
      </c>
      <c r="C45" s="261">
        <v>202917.31099999999</v>
      </c>
      <c r="D45" s="262">
        <v>278285.58</v>
      </c>
      <c r="E45" s="262">
        <v>17262.789999999997</v>
      </c>
      <c r="F45" s="460">
        <v>159255.65999999997</v>
      </c>
      <c r="G45" s="263">
        <f>SUM(C45:F45)</f>
        <v>657721.34100000001</v>
      </c>
    </row>
    <row r="46" spans="1:7" s="230" customFormat="1">
      <c r="A46" s="146"/>
      <c r="B46" s="148" t="s">
        <v>338</v>
      </c>
      <c r="C46" s="463">
        <f>SUM(C43:C45)</f>
        <v>6177535.7647987278</v>
      </c>
      <c r="D46" s="464">
        <f>SUM(D43:D45)</f>
        <v>3202977.5225943453</v>
      </c>
      <c r="E46" s="464">
        <f t="shared" ref="E46:F46" si="15">SUM(E43:E45)</f>
        <v>52492.42</v>
      </c>
      <c r="F46" s="464">
        <f t="shared" si="15"/>
        <v>264955.5</v>
      </c>
      <c r="G46" s="465">
        <f>SUM(G43:G45)</f>
        <v>9697961.2073930744</v>
      </c>
    </row>
    <row r="47" spans="1:7" s="230" customFormat="1">
      <c r="A47" s="146"/>
      <c r="B47" s="148" t="s">
        <v>339</v>
      </c>
      <c r="C47" s="458">
        <f t="shared" ref="C47:D47" si="16">IFERROR(C42/C46, "n/a")</f>
        <v>1.1449913537810481</v>
      </c>
      <c r="D47" s="456">
        <f t="shared" si="16"/>
        <v>3.5069945703280969</v>
      </c>
      <c r="E47" s="456">
        <f>IFERROR(E42/E46, "n/a")</f>
        <v>0</v>
      </c>
      <c r="F47" s="456">
        <f t="shared" ref="F47:G47" si="17">IFERROR(F42/F46, "n/a")</f>
        <v>0</v>
      </c>
      <c r="G47" s="457">
        <f t="shared" si="17"/>
        <v>1.8876183795243213</v>
      </c>
    </row>
    <row r="48" spans="1:7" s="230" customFormat="1">
      <c r="A48" s="227" t="s">
        <v>173</v>
      </c>
      <c r="B48" s="145"/>
      <c r="C48" s="144"/>
      <c r="D48" s="143"/>
      <c r="E48" s="143"/>
      <c r="F48" s="143"/>
      <c r="G48" s="145"/>
    </row>
    <row r="49" spans="1:7" s="230" customFormat="1">
      <c r="A49" s="146">
        <v>28</v>
      </c>
      <c r="B49" s="147" t="s">
        <v>151</v>
      </c>
      <c r="C49" s="261">
        <v>3123657.9516952401</v>
      </c>
      <c r="D49" s="262">
        <v>3914650.6376118478</v>
      </c>
      <c r="E49" s="262">
        <v>0</v>
      </c>
      <c r="F49" s="262">
        <v>0</v>
      </c>
      <c r="G49" s="263">
        <f>SUM(C49:F49)</f>
        <v>7038308.5893070884</v>
      </c>
    </row>
    <row r="50" spans="1:7" s="230" customFormat="1">
      <c r="A50" s="146">
        <v>29</v>
      </c>
      <c r="B50" s="147" t="s">
        <v>152</v>
      </c>
      <c r="C50" s="261">
        <v>320339.14206139703</v>
      </c>
      <c r="D50" s="262">
        <v>1605342.7510930421</v>
      </c>
      <c r="E50" s="262">
        <v>0</v>
      </c>
      <c r="F50" s="262">
        <v>0</v>
      </c>
      <c r="G50" s="263">
        <f t="shared" ref="G50:G56" si="18">SUM(C50:F50)</f>
        <v>1925681.8931544391</v>
      </c>
    </row>
    <row r="51" spans="1:7" s="230" customFormat="1">
      <c r="A51" s="146">
        <v>30</v>
      </c>
      <c r="B51" s="147" t="s">
        <v>153</v>
      </c>
      <c r="C51" s="261">
        <v>0</v>
      </c>
      <c r="D51" s="262">
        <v>0</v>
      </c>
      <c r="E51" s="262">
        <v>0</v>
      </c>
      <c r="F51" s="262">
        <v>0</v>
      </c>
      <c r="G51" s="263">
        <f t="shared" si="18"/>
        <v>0</v>
      </c>
    </row>
    <row r="52" spans="1:7" s="230" customFormat="1">
      <c r="A52" s="146">
        <v>31</v>
      </c>
      <c r="B52" s="147" t="s">
        <v>174</v>
      </c>
      <c r="C52" s="261">
        <v>89647.108838474203</v>
      </c>
      <c r="D52" s="262">
        <v>112348.12428298523</v>
      </c>
      <c r="E52" s="262">
        <v>0</v>
      </c>
      <c r="F52" s="262">
        <v>0</v>
      </c>
      <c r="G52" s="263">
        <f t="shared" si="18"/>
        <v>201995.23312145943</v>
      </c>
    </row>
    <row r="53" spans="1:7" s="230" customFormat="1">
      <c r="A53" s="146">
        <v>32</v>
      </c>
      <c r="B53" s="147" t="s">
        <v>175</v>
      </c>
      <c r="C53" s="261">
        <v>0.82948662979297927</v>
      </c>
      <c r="D53" s="262">
        <v>4.1568768015603208</v>
      </c>
      <c r="E53" s="262">
        <v>0</v>
      </c>
      <c r="F53" s="262">
        <v>0</v>
      </c>
      <c r="G53" s="263">
        <f t="shared" si="18"/>
        <v>4.9863634313533005</v>
      </c>
    </row>
    <row r="54" spans="1:7" s="230" customFormat="1">
      <c r="A54" s="146">
        <v>33</v>
      </c>
      <c r="B54" s="147" t="s">
        <v>176</v>
      </c>
      <c r="C54" s="261">
        <v>0</v>
      </c>
      <c r="D54" s="262">
        <v>0</v>
      </c>
      <c r="E54" s="262">
        <v>0</v>
      </c>
      <c r="F54" s="262">
        <v>0</v>
      </c>
      <c r="G54" s="263">
        <f t="shared" si="18"/>
        <v>0</v>
      </c>
    </row>
    <row r="55" spans="1:7" s="230" customFormat="1">
      <c r="A55" s="146">
        <v>34</v>
      </c>
      <c r="B55" s="147" t="s">
        <v>157</v>
      </c>
      <c r="C55" s="261">
        <v>0</v>
      </c>
      <c r="D55" s="262">
        <v>0</v>
      </c>
      <c r="E55" s="262">
        <v>0</v>
      </c>
      <c r="F55" s="262">
        <v>0</v>
      </c>
      <c r="G55" s="263">
        <f t="shared" si="18"/>
        <v>0</v>
      </c>
    </row>
    <row r="56" spans="1:7">
      <c r="A56" s="146">
        <v>35</v>
      </c>
      <c r="B56" s="147" t="s">
        <v>177</v>
      </c>
      <c r="C56" s="261">
        <v>299037.9780941676</v>
      </c>
      <c r="D56" s="262">
        <v>1539349.3790350039</v>
      </c>
      <c r="E56" s="262">
        <v>0</v>
      </c>
      <c r="F56" s="262">
        <v>0</v>
      </c>
      <c r="G56" s="263">
        <f t="shared" si="18"/>
        <v>1838387.3571291715</v>
      </c>
    </row>
    <row r="57" spans="1:7">
      <c r="A57" s="146">
        <v>36</v>
      </c>
      <c r="B57" s="147" t="s">
        <v>178</v>
      </c>
      <c r="C57" s="261">
        <v>3330189.966516932</v>
      </c>
      <c r="D57" s="262">
        <v>4173482.0128814154</v>
      </c>
      <c r="E57" s="262">
        <v>0</v>
      </c>
      <c r="F57" s="262">
        <v>0</v>
      </c>
      <c r="G57" s="462">
        <f>SUM(C57:F57)</f>
        <v>7503671.9793983474</v>
      </c>
    </row>
    <row r="58" spans="1:7">
      <c r="A58" s="146">
        <v>37</v>
      </c>
      <c r="B58" s="147" t="s">
        <v>179</v>
      </c>
      <c r="C58" s="261">
        <v>0</v>
      </c>
      <c r="D58" s="262">
        <v>0</v>
      </c>
      <c r="E58" s="262">
        <v>0</v>
      </c>
      <c r="F58" s="262">
        <v>0</v>
      </c>
      <c r="G58" s="263">
        <f>SUM(C58:F58)</f>
        <v>0</v>
      </c>
    </row>
    <row r="59" spans="1:7">
      <c r="A59" s="146"/>
      <c r="B59" s="148" t="s">
        <v>180</v>
      </c>
      <c r="C59" s="463">
        <f>SUM(C49:C58)</f>
        <v>7162872.9766928405</v>
      </c>
      <c r="D59" s="464">
        <f>SUM(D49:D58)</f>
        <v>11345177.061781095</v>
      </c>
      <c r="E59" s="464">
        <f t="shared" ref="E59:F59" si="19">SUM(E49:E58)</f>
        <v>0</v>
      </c>
      <c r="F59" s="464">
        <f t="shared" si="19"/>
        <v>0</v>
      </c>
      <c r="G59" s="465">
        <f>SUM(G49:G58)</f>
        <v>18508050.038473938</v>
      </c>
    </row>
    <row r="60" spans="1:7">
      <c r="A60" s="146">
        <v>38</v>
      </c>
      <c r="B60" s="147" t="s">
        <v>160</v>
      </c>
      <c r="C60" s="470">
        <v>5650630.2137987278</v>
      </c>
      <c r="D60" s="470">
        <v>2680286.4325943454</v>
      </c>
      <c r="E60" s="470">
        <v>0</v>
      </c>
      <c r="F60" s="470">
        <v>0</v>
      </c>
      <c r="G60" s="462">
        <f>SUM(C60:F60)</f>
        <v>8330916.6463930737</v>
      </c>
    </row>
    <row r="61" spans="1:7">
      <c r="A61" s="146">
        <v>39</v>
      </c>
      <c r="B61" s="147" t="s">
        <v>161</v>
      </c>
      <c r="C61" s="471">
        <v>323988.24</v>
      </c>
      <c r="D61" s="470">
        <v>244405.50999999998</v>
      </c>
      <c r="E61" s="470">
        <v>35229.629999999997</v>
      </c>
      <c r="F61" s="470">
        <v>105699.84</v>
      </c>
      <c r="G61" s="462">
        <f t="shared" ref="G61" si="20">SUM(C61:F61)</f>
        <v>709323.22</v>
      </c>
    </row>
    <row r="62" spans="1:7">
      <c r="A62" s="146">
        <v>40</v>
      </c>
      <c r="B62" s="149" t="s">
        <v>162</v>
      </c>
      <c r="C62" s="472">
        <v>202917.31099999999</v>
      </c>
      <c r="D62" s="473">
        <v>278285.58</v>
      </c>
      <c r="E62" s="473">
        <v>17262.789999999997</v>
      </c>
      <c r="F62" s="473">
        <v>159255.65999999997</v>
      </c>
      <c r="G62" s="474">
        <f>SUM(C62:F62)</f>
        <v>657721.34100000001</v>
      </c>
    </row>
    <row r="63" spans="1:7">
      <c r="A63" s="146"/>
      <c r="B63" s="148" t="s">
        <v>340</v>
      </c>
      <c r="C63" s="463">
        <f>SUM(C60:C62)</f>
        <v>6177535.7647987278</v>
      </c>
      <c r="D63" s="464">
        <f>SUM(D60:D62)</f>
        <v>3202977.5225943453</v>
      </c>
      <c r="E63" s="464">
        <f t="shared" ref="E63" si="21">SUM(E60:E62)</f>
        <v>52492.42</v>
      </c>
      <c r="F63" s="464">
        <f t="shared" ref="F63" si="22">SUM(F60:F62)</f>
        <v>264955.5</v>
      </c>
      <c r="G63" s="465">
        <f>SUM(G60:G62)</f>
        <v>9697961.2073930744</v>
      </c>
    </row>
    <row r="64" spans="1:7" ht="15" thickBot="1">
      <c r="A64" s="228"/>
      <c r="B64" s="150" t="s">
        <v>341</v>
      </c>
      <c r="C64" s="466">
        <f t="shared" ref="C64:D64" si="23">IFERROR(C59/C63, "n/a")</f>
        <v>1.1595032792054125</v>
      </c>
      <c r="D64" s="467">
        <f t="shared" si="23"/>
        <v>3.5420720194725992</v>
      </c>
      <c r="E64" s="467">
        <f>IFERROR(E59/E63, "n/a")</f>
        <v>0</v>
      </c>
      <c r="F64" s="467">
        <f t="shared" ref="F64:G64" si="24">IFERROR(F59/F63, "n/a")</f>
        <v>0</v>
      </c>
      <c r="G64" s="468">
        <f t="shared" si="24"/>
        <v>1.908447522388999</v>
      </c>
    </row>
    <row r="66" spans="2:7">
      <c r="B66" s="169" t="s">
        <v>342</v>
      </c>
    </row>
    <row r="67" spans="2:7">
      <c r="B67" s="169" t="s">
        <v>367</v>
      </c>
      <c r="C67" s="469">
        <f t="shared" ref="C67:F67" si="25">SUM(C5:C12)-SUM(C15,C16,C14)</f>
        <v>-2344852.7546228198</v>
      </c>
      <c r="D67" s="469">
        <f t="shared" si="25"/>
        <v>3968717.5263053351</v>
      </c>
      <c r="E67" s="469">
        <f t="shared" si="25"/>
        <v>-52492.42</v>
      </c>
      <c r="F67" s="469">
        <f t="shared" si="25"/>
        <v>-264955.5</v>
      </c>
      <c r="G67" s="469">
        <f>SUM(G5:G12)-SUM(G15,G16,G14)</f>
        <v>1306416.851682514</v>
      </c>
    </row>
    <row r="68" spans="2:7">
      <c r="B68" s="264" t="s">
        <v>343</v>
      </c>
      <c r="C68" s="262"/>
      <c r="D68" s="262"/>
      <c r="E68" s="262"/>
      <c r="F68" s="262"/>
      <c r="G68" s="26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E16" sqref="E16"/>
    </sheetView>
  </sheetViews>
  <sheetFormatPr defaultRowHeight="14.5"/>
  <sheetData>
    <row r="2" spans="2:2">
      <c r="B2" s="169" t="s">
        <v>233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activeCell="B13" sqref="B13"/>
    </sheetView>
  </sheetViews>
  <sheetFormatPr defaultRowHeight="14.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54296875" customWidth="1"/>
  </cols>
  <sheetData>
    <row r="1" spans="1:13" ht="23.15" customHeight="1">
      <c r="A1" t="s">
        <v>68</v>
      </c>
      <c r="B1" s="13" t="s">
        <v>280</v>
      </c>
    </row>
    <row r="2" spans="1:13">
      <c r="A2" s="579" t="s">
        <v>69</v>
      </c>
      <c r="B2" s="579"/>
      <c r="C2" s="580"/>
      <c r="D2" s="98"/>
      <c r="E2" s="99" t="s">
        <v>70</v>
      </c>
      <c r="F2" s="581" t="s">
        <v>71</v>
      </c>
      <c r="G2" s="582"/>
      <c r="H2" s="583"/>
      <c r="I2" s="584" t="s">
        <v>72</v>
      </c>
      <c r="J2" s="585"/>
      <c r="K2" s="585"/>
      <c r="L2" s="585"/>
      <c r="M2" s="586"/>
    </row>
    <row r="3" spans="1:13" ht="72.5">
      <c r="A3" s="100" t="s">
        <v>73</v>
      </c>
      <c r="B3" s="101" t="s">
        <v>74</v>
      </c>
      <c r="C3" s="102" t="s">
        <v>75</v>
      </c>
      <c r="D3" s="102" t="s">
        <v>44</v>
      </c>
      <c r="E3" s="103" t="s">
        <v>91</v>
      </c>
      <c r="F3" s="104" t="s">
        <v>76</v>
      </c>
      <c r="G3" s="104" t="s">
        <v>107</v>
      </c>
      <c r="H3" s="104" t="s">
        <v>106</v>
      </c>
      <c r="I3" s="105" t="s">
        <v>101</v>
      </c>
      <c r="J3" s="105" t="s">
        <v>102</v>
      </c>
      <c r="K3" s="106" t="s">
        <v>103</v>
      </c>
      <c r="L3" s="106" t="s">
        <v>104</v>
      </c>
      <c r="M3" s="106" t="s">
        <v>105</v>
      </c>
    </row>
    <row r="4" spans="1:13">
      <c r="A4" s="107" t="s">
        <v>77</v>
      </c>
      <c r="B4" s="108" t="s">
        <v>78</v>
      </c>
      <c r="C4" s="107" t="s">
        <v>16</v>
      </c>
      <c r="D4" s="63" t="s">
        <v>66</v>
      </c>
      <c r="E4" s="119">
        <f>'Ap B - Qtr Electric Master'!$F$8</f>
        <v>25205</v>
      </c>
      <c r="F4" s="110">
        <f>'Ap B - Qtr Electric Master'!$I$8</f>
        <v>1083.07</v>
      </c>
      <c r="G4" s="111">
        <f>SUM(' Ap C - Qtr Electric LMI'!$F$8:$G$8)</f>
        <v>300.15499999999997</v>
      </c>
      <c r="H4" s="111">
        <f>'Ap B - Qtr Electric Master'!$J$8</f>
        <v>606.82100000000003</v>
      </c>
      <c r="I4" s="112">
        <f>'Ap B - Qtr Electric Master'!$N$8</f>
        <v>3873.6129999999998</v>
      </c>
      <c r="J4" s="112">
        <f>'Ap B - Qtr Electric Master'!$S$8</f>
        <v>55687.360000000001</v>
      </c>
      <c r="K4" s="120">
        <f>'Ap B - Qtr Electric Master'!$Q$8</f>
        <v>0.32</v>
      </c>
      <c r="L4" s="17"/>
      <c r="M4" s="17"/>
    </row>
    <row r="5" spans="1:13">
      <c r="A5" s="107" t="s">
        <v>77</v>
      </c>
      <c r="B5" s="108" t="s">
        <v>78</v>
      </c>
      <c r="C5" s="107" t="s">
        <v>17</v>
      </c>
      <c r="D5" s="63" t="s">
        <v>79</v>
      </c>
      <c r="E5" s="119">
        <f>'Ap B - Qtr Electric Master'!$F$10</f>
        <v>0</v>
      </c>
      <c r="F5" s="110">
        <f>'Ap B - Qtr Electric Master'!$I$10</f>
        <v>544.78599999999994</v>
      </c>
      <c r="G5" s="111">
        <f>SUM(' Ap C - Qtr Electric LMI'!$F$10:$G$10)</f>
        <v>0</v>
      </c>
      <c r="H5" s="111">
        <f>'Ap B - Qtr Electric Master'!$J$10</f>
        <v>112.96599999999999</v>
      </c>
      <c r="I5" s="112">
        <f>'Ap B - Qtr Electric Master'!$N$10</f>
        <v>0</v>
      </c>
      <c r="J5" s="112">
        <f>'Ap B - Qtr Electric Master'!$S$10</f>
        <v>0</v>
      </c>
      <c r="K5" s="120">
        <f>'Ap B - Qtr Electric Master'!$Q$10</f>
        <v>0</v>
      </c>
      <c r="L5" s="17"/>
      <c r="M5" s="17"/>
    </row>
    <row r="6" spans="1:13">
      <c r="A6" s="107" t="s">
        <v>77</v>
      </c>
      <c r="B6" s="108" t="s">
        <v>78</v>
      </c>
      <c r="C6" s="107" t="s">
        <v>17</v>
      </c>
      <c r="D6" s="63" t="s">
        <v>18</v>
      </c>
      <c r="E6" s="119">
        <f>'Ap B - Qtr Electric Master'!$F$11</f>
        <v>3504</v>
      </c>
      <c r="F6" s="110">
        <f>'Ap B - Qtr Electric Master'!$I$11</f>
        <v>292.334</v>
      </c>
      <c r="G6" s="111">
        <f>SUM(' Ap C - Qtr Electric LMI'!$F$11:$G$11)</f>
        <v>20.407</v>
      </c>
      <c r="H6" s="111">
        <f>'Ap B - Qtr Electric Master'!$J$11</f>
        <v>61.491999999999997</v>
      </c>
      <c r="I6" s="112">
        <f>'Ap B - Qtr Electric Master'!$N$11</f>
        <v>575.69399999999996</v>
      </c>
      <c r="J6" s="112">
        <f>'Ap B - Qtr Electric Master'!$S$11</f>
        <v>2302.777</v>
      </c>
      <c r="K6" s="120">
        <f>'Ap B - Qtr Electric Master'!$Q$11</f>
        <v>4.2999999999999997E-2</v>
      </c>
      <c r="L6" s="17"/>
      <c r="M6" s="17"/>
    </row>
    <row r="7" spans="1:13">
      <c r="A7" s="107" t="s">
        <v>77</v>
      </c>
      <c r="B7" s="108" t="s">
        <v>80</v>
      </c>
      <c r="C7" s="107" t="s">
        <v>22</v>
      </c>
      <c r="D7" s="63" t="s">
        <v>22</v>
      </c>
      <c r="E7" s="109">
        <f>'Ap B - Qtr Electric Master'!$F$15</f>
        <v>52</v>
      </c>
      <c r="F7" s="110">
        <f>'Ap B - Qtr Electric Master'!$I$15</f>
        <v>1369.317</v>
      </c>
      <c r="G7" s="111">
        <f>' Ap D - Qtr Electric Business'!$F$8</f>
        <v>694.49300000000005</v>
      </c>
      <c r="H7" s="111">
        <f>'Ap B - Qtr Electric Master'!$J$15</f>
        <v>1007.222</v>
      </c>
      <c r="I7" s="112">
        <f>'Ap B - Qtr Electric Master'!$N$15</f>
        <v>1209.3720000000001</v>
      </c>
      <c r="J7" s="112">
        <f>'Ap B - Qtr Electric Master'!$S$15</f>
        <v>17918.274000000001</v>
      </c>
      <c r="K7" s="120">
        <f>'Ap B - Qtr Electric Master'!$Q$15</f>
        <v>0.28100000000000003</v>
      </c>
      <c r="L7" s="17"/>
      <c r="M7" s="17"/>
    </row>
    <row r="8" spans="1:13">
      <c r="A8" s="107" t="s">
        <v>77</v>
      </c>
      <c r="B8" s="108" t="s">
        <v>80</v>
      </c>
      <c r="C8" s="107" t="s">
        <v>23</v>
      </c>
      <c r="D8" s="63" t="s">
        <v>60</v>
      </c>
      <c r="E8" s="109">
        <f>'Ap B - Qtr Electric Master'!$F$16</f>
        <v>125</v>
      </c>
      <c r="F8" s="110">
        <f>'Ap B - Qtr Electric Master'!$I$16</f>
        <v>1212.9269999999999</v>
      </c>
      <c r="G8" s="111">
        <f>SUM(' Ap D - Qtr Electric Business'!$F$9:$G$9)</f>
        <v>1719.2570000000001</v>
      </c>
      <c r="H8" s="111">
        <f>'Ap B - Qtr Electric Master'!$J$16</f>
        <v>2425.5630000000001</v>
      </c>
      <c r="I8" s="112">
        <f>'Ap B - Qtr Electric Master'!$N$16</f>
        <v>7471.0910000000003</v>
      </c>
      <c r="J8" s="112">
        <f>'Ap B - Qtr Electric Master'!$S$16</f>
        <v>96297.664999999994</v>
      </c>
      <c r="K8" s="120">
        <f>'Ap B - Qtr Electric Master'!$Q$16</f>
        <v>1.696</v>
      </c>
      <c r="L8" s="17"/>
      <c r="M8" s="17"/>
    </row>
    <row r="9" spans="1:13">
      <c r="A9" s="107" t="s">
        <v>77</v>
      </c>
      <c r="B9" s="108" t="s">
        <v>53</v>
      </c>
      <c r="C9" s="107" t="s">
        <v>53</v>
      </c>
      <c r="D9" s="63" t="s">
        <v>79</v>
      </c>
      <c r="E9" s="231">
        <f>'Ap B - Qtr Electric Master'!$F$19</f>
        <v>0</v>
      </c>
      <c r="F9" s="110">
        <f>'Ap B - Qtr Electric Master'!$I$19</f>
        <v>395.113</v>
      </c>
      <c r="G9" s="111" t="e">
        <f>SUM(' Ap D - Qtr Electric Business'!#REF!)</f>
        <v>#REF!</v>
      </c>
      <c r="H9" s="111">
        <f>'Ap B - Qtr Electric Master'!$J$19</f>
        <v>52.491999999999997</v>
      </c>
      <c r="I9" s="112">
        <f>'Ap B - Qtr Electric Master'!$N$19</f>
        <v>0</v>
      </c>
      <c r="J9" s="112">
        <f>'Ap B - Qtr Electric Master'!$S$19</f>
        <v>0</v>
      </c>
      <c r="K9" s="120">
        <f>'Ap B - Qtr Electric Master'!$Q$19</f>
        <v>0</v>
      </c>
      <c r="L9" s="17"/>
      <c r="M9" s="17"/>
    </row>
    <row r="10" spans="1:13">
      <c r="A10" s="107" t="s">
        <v>77</v>
      </c>
      <c r="B10" s="108" t="s">
        <v>81</v>
      </c>
      <c r="C10" s="107" t="s">
        <v>59</v>
      </c>
      <c r="D10" s="63" t="s">
        <v>67</v>
      </c>
      <c r="E10" s="231">
        <f>'Ap B - Qtr Electric Master'!$F$21</f>
        <v>1574</v>
      </c>
      <c r="F10" s="110">
        <f>'Ap B - Qtr Electric Master'!$I$21</f>
        <v>377.61200000000002</v>
      </c>
      <c r="G10" s="111">
        <f>SUM(' Ap D - Qtr Electric Business'!$F$13:$G$13)</f>
        <v>0</v>
      </c>
      <c r="H10" s="111">
        <f>'Ap B - Qtr Electric Master'!$J$21</f>
        <v>290.73899999999998</v>
      </c>
      <c r="I10" s="112">
        <f>'Ap B - Qtr Electric Master'!$N$21</f>
        <v>0</v>
      </c>
      <c r="J10" s="112">
        <f>'Ap B - Qtr Electric Master'!$S$21</f>
        <v>0</v>
      </c>
      <c r="K10" s="120">
        <f>'Ap B - Qtr Electric Master'!$Q$21</f>
        <v>1.55</v>
      </c>
      <c r="L10" s="17"/>
      <c r="M10" s="17"/>
    </row>
    <row r="11" spans="1:13">
      <c r="A11" s="107" t="s">
        <v>77</v>
      </c>
      <c r="B11" s="108" t="s">
        <v>81</v>
      </c>
      <c r="C11" s="107" t="s">
        <v>64</v>
      </c>
      <c r="D11" s="63" t="s">
        <v>64</v>
      </c>
      <c r="E11" s="231">
        <f>'Ap B - Qtr Electric Master'!$F$23</f>
        <v>4</v>
      </c>
      <c r="F11" s="110">
        <f>'Ap B - Qtr Electric Master'!$I$23</f>
        <v>607.23900000000003</v>
      </c>
      <c r="G11" s="111">
        <f>SUM(' Ap D - Qtr Electric Business'!$F$15:$G$15)</f>
        <v>0</v>
      </c>
      <c r="H11" s="111">
        <f>'Ap B - Qtr Electric Master'!$J$23</f>
        <v>117.68300000000001</v>
      </c>
      <c r="I11" s="112">
        <f>'Ap B - Qtr Electric Master'!$N$23</f>
        <v>43.933177022274329</v>
      </c>
      <c r="J11" s="112">
        <f>'Ap B - Qtr Electric Master'!$S$23</f>
        <v>2210.1</v>
      </c>
      <c r="K11" s="120">
        <f>'Ap B - Qtr Electric Master'!$Q$23</f>
        <v>1E-3</v>
      </c>
      <c r="L11" s="17"/>
      <c r="M11" s="17"/>
    </row>
    <row r="12" spans="1:13">
      <c r="A12" s="107" t="s">
        <v>77</v>
      </c>
      <c r="B12" s="108" t="s">
        <v>78</v>
      </c>
      <c r="C12" s="107" t="s">
        <v>117</v>
      </c>
      <c r="D12" s="63" t="s">
        <v>117</v>
      </c>
      <c r="E12" s="231">
        <f>'Tables 2-6'!$C$26</f>
        <v>32</v>
      </c>
      <c r="F12" s="110">
        <f>'Tables 2-6'!$D$37</f>
        <v>311.2</v>
      </c>
      <c r="G12" s="111"/>
      <c r="H12" s="111">
        <f>'Tables 2-6'!$C$37</f>
        <v>126.724</v>
      </c>
      <c r="I12" s="112">
        <f>'Tables 2-6'!$C$49</f>
        <v>40.863</v>
      </c>
      <c r="J12" s="112"/>
      <c r="K12" s="112"/>
      <c r="L12" s="17"/>
      <c r="M12" s="17"/>
    </row>
    <row r="13" spans="1:13">
      <c r="A13" s="107" t="s">
        <v>77</v>
      </c>
      <c r="B13" s="108"/>
      <c r="C13" s="107" t="s">
        <v>28</v>
      </c>
      <c r="D13" s="63"/>
      <c r="E13" s="109"/>
      <c r="F13" s="110">
        <f>'Ap B - Qtr Electric Master'!$I$27</f>
        <v>0</v>
      </c>
      <c r="G13" s="111"/>
      <c r="H13" s="111">
        <f>'Ap B - Qtr Electric Master'!$J$27</f>
        <v>12.984</v>
      </c>
      <c r="I13" s="112"/>
      <c r="J13" s="112"/>
      <c r="K13" s="112"/>
      <c r="L13" s="17"/>
      <c r="M13" s="17"/>
    </row>
    <row r="14" spans="1:13">
      <c r="A14" s="107"/>
      <c r="B14" s="108"/>
      <c r="C14" s="107"/>
      <c r="D14" s="63"/>
      <c r="E14" s="109"/>
      <c r="F14" s="110"/>
      <c r="G14" s="111"/>
      <c r="H14" s="111"/>
      <c r="I14" s="112"/>
      <c r="J14" s="112"/>
      <c r="K14" s="112"/>
      <c r="L14" s="17"/>
      <c r="M14" s="17"/>
    </row>
    <row r="15" spans="1:13">
      <c r="A15" s="107"/>
      <c r="B15" s="108"/>
      <c r="C15" s="234"/>
      <c r="D15" s="235"/>
      <c r="E15" s="230"/>
      <c r="F15" s="233"/>
      <c r="G15" s="111"/>
      <c r="H15" s="111"/>
      <c r="I15" s="112"/>
      <c r="J15" s="112"/>
      <c r="K15" s="112"/>
      <c r="L15" s="17"/>
      <c r="M15" s="17"/>
    </row>
    <row r="16" spans="1:13">
      <c r="A16" s="107"/>
      <c r="B16" s="108"/>
      <c r="C16" s="234"/>
      <c r="D16" s="232"/>
      <c r="E16" s="231"/>
      <c r="F16" s="110"/>
      <c r="G16" s="111"/>
      <c r="H16" s="111"/>
      <c r="I16" s="112"/>
      <c r="J16" s="112"/>
      <c r="K16" s="112"/>
      <c r="L16" s="17"/>
      <c r="M16" s="17"/>
    </row>
    <row r="17" spans="1:13">
      <c r="A17" s="107"/>
      <c r="B17" s="108"/>
      <c r="C17" s="234"/>
      <c r="D17" s="232"/>
      <c r="E17" s="231"/>
      <c r="F17" s="110"/>
      <c r="G17" s="111"/>
      <c r="H17" s="111"/>
      <c r="I17" s="112"/>
      <c r="J17" s="112"/>
      <c r="K17" s="112"/>
      <c r="L17" s="17"/>
      <c r="M17" s="17"/>
    </row>
    <row r="18" spans="1:13">
      <c r="A18" s="107"/>
      <c r="B18" s="108"/>
      <c r="C18" s="234"/>
      <c r="D18" s="232"/>
      <c r="E18" s="231"/>
      <c r="F18" s="110"/>
      <c r="G18" s="111"/>
      <c r="H18" s="111"/>
      <c r="I18" s="112"/>
      <c r="J18" s="112"/>
      <c r="K18" s="112"/>
      <c r="L18" s="17"/>
      <c r="M18" s="17"/>
    </row>
    <row r="19" spans="1:13">
      <c r="A19" s="107"/>
      <c r="B19" s="108"/>
      <c r="C19" s="234"/>
      <c r="D19" s="232"/>
      <c r="E19" s="231"/>
      <c r="F19" s="110"/>
      <c r="G19" s="111"/>
      <c r="H19" s="111"/>
      <c r="I19" s="112"/>
      <c r="J19" s="112"/>
      <c r="K19" s="112"/>
      <c r="L19" s="17"/>
      <c r="M19" s="17"/>
    </row>
    <row r="20" spans="1:13">
      <c r="A20" s="107"/>
      <c r="B20" s="108"/>
      <c r="C20" s="107"/>
      <c r="D20" s="63"/>
      <c r="E20" s="109"/>
      <c r="F20" s="110"/>
      <c r="G20" s="111"/>
      <c r="H20" s="111"/>
      <c r="I20" s="112"/>
      <c r="J20" s="112"/>
      <c r="K20" s="112"/>
      <c r="L20" s="17"/>
      <c r="M20" s="17"/>
    </row>
    <row r="21" spans="1:13">
      <c r="A21" s="107"/>
      <c r="B21" s="108"/>
      <c r="C21" s="107"/>
      <c r="D21" s="63"/>
      <c r="E21" s="109"/>
      <c r="F21" s="110"/>
      <c r="G21" s="111"/>
      <c r="H21" s="111"/>
      <c r="I21" s="112"/>
      <c r="J21" s="112"/>
      <c r="K21" s="112"/>
      <c r="L21" s="17"/>
      <c r="M21" s="17"/>
    </row>
    <row r="22" spans="1:13">
      <c r="A22" s="107"/>
      <c r="B22" s="108"/>
      <c r="C22" s="107"/>
      <c r="D22" s="63"/>
      <c r="E22" s="109"/>
      <c r="F22" s="110"/>
      <c r="G22" s="111"/>
      <c r="H22" s="111"/>
      <c r="I22" s="112"/>
      <c r="J22" s="112"/>
      <c r="K22" s="112"/>
      <c r="L22" s="17"/>
      <c r="M22" s="17"/>
    </row>
  </sheetData>
  <mergeCells count="3">
    <mergeCell ref="A2:C2"/>
    <mergeCell ref="F2:H2"/>
    <mergeCell ref="I2:M2"/>
  </mergeCells>
  <conditionalFormatting sqref="G4:H22">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Lookup_Sheet!$A$18:$A$24</xm:f>
          </x14:formula1>
          <xm:sqref>A4:A22</xm:sqref>
        </x14:dataValidation>
        <x14:dataValidation type="list" allowBlank="1" showInputMessage="1" showErrorMessage="1">
          <x14:formula1>
            <xm:f>Lookup_Sheet!$A$2:$A$5</xm:f>
          </x14:formula1>
          <xm:sqref>B4:B22</xm:sqref>
        </x14:dataValidation>
        <x14:dataValidation type="list" allowBlank="1" showInputMessage="1">
          <x14:formula1>
            <xm:f>Lookup_Sheet!$A$8:$A$10</xm:f>
          </x14:formula1>
          <xm:sqref>C4:C22</xm:sqref>
        </x14:dataValidation>
        <x14:dataValidation type="list" allowBlank="1" showInputMessage="1">
          <x14:formula1>
            <xm:f>Lookup_Sheet!$A$13:$A$15</xm:f>
          </x14:formula1>
          <xm:sqref>D4:D22</xm:sqref>
        </x14:dataValidation>
        <x14:dataValidation type="list" allowBlank="1" showInputMessage="1" showErrorMessage="1">
          <x14:formula1>
            <xm:f>Lookup_Sheet!$A$28:$A$39</xm:f>
          </x14:formula1>
          <xm:sqref>B1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A20" sqref="A20"/>
    </sheetView>
  </sheetViews>
  <sheetFormatPr defaultRowHeight="14.5"/>
  <cols>
    <col min="1" max="1" width="51.81640625" bestFit="1" customWidth="1"/>
    <col min="3" max="3" width="7.453125" bestFit="1" customWidth="1"/>
  </cols>
  <sheetData>
    <row r="1" spans="1:1">
      <c r="A1" s="113" t="s">
        <v>74</v>
      </c>
    </row>
    <row r="2" spans="1:1">
      <c r="A2" s="17" t="s">
        <v>78</v>
      </c>
    </row>
    <row r="3" spans="1:1">
      <c r="A3" s="17" t="s">
        <v>80</v>
      </c>
    </row>
    <row r="4" spans="1:1">
      <c r="A4" s="17" t="s">
        <v>53</v>
      </c>
    </row>
    <row r="5" spans="1:1">
      <c r="A5" s="17" t="s">
        <v>81</v>
      </c>
    </row>
    <row r="7" spans="1:1">
      <c r="A7" s="113" t="s">
        <v>75</v>
      </c>
    </row>
    <row r="8" spans="1:1">
      <c r="A8" s="17" t="s">
        <v>16</v>
      </c>
    </row>
    <row r="9" spans="1:1">
      <c r="A9" s="17" t="s">
        <v>22</v>
      </c>
    </row>
    <row r="10" spans="1:1">
      <c r="A10" s="17" t="s">
        <v>53</v>
      </c>
    </row>
    <row r="12" spans="1:1">
      <c r="A12" s="113" t="s">
        <v>44</v>
      </c>
    </row>
    <row r="13" spans="1:1">
      <c r="A13" s="17" t="s">
        <v>79</v>
      </c>
    </row>
    <row r="14" spans="1:1">
      <c r="A14" s="114" t="s">
        <v>24</v>
      </c>
    </row>
    <row r="15" spans="1:1">
      <c r="A15" s="114" t="s">
        <v>22</v>
      </c>
    </row>
    <row r="17" spans="1:1">
      <c r="A17" s="113" t="s">
        <v>82</v>
      </c>
    </row>
    <row r="18" spans="1:1">
      <c r="A18" s="115" t="s">
        <v>83</v>
      </c>
    </row>
    <row r="19" spans="1:1">
      <c r="A19" s="115" t="s">
        <v>84</v>
      </c>
    </row>
    <row r="20" spans="1:1">
      <c r="A20" s="115" t="s">
        <v>85</v>
      </c>
    </row>
    <row r="21" spans="1:1">
      <c r="A21" s="115" t="s">
        <v>86</v>
      </c>
    </row>
    <row r="22" spans="1:1">
      <c r="A22" s="116" t="s">
        <v>87</v>
      </c>
    </row>
    <row r="23" spans="1:1">
      <c r="A23" s="115" t="s">
        <v>77</v>
      </c>
    </row>
    <row r="24" spans="1:1">
      <c r="A24" s="115" t="s">
        <v>88</v>
      </c>
    </row>
    <row r="27" spans="1:1">
      <c r="A27" s="117" t="s">
        <v>89</v>
      </c>
    </row>
    <row r="28" spans="1:1">
      <c r="A28" s="118" t="s">
        <v>277</v>
      </c>
    </row>
    <row r="29" spans="1:1">
      <c r="A29" s="118" t="s">
        <v>278</v>
      </c>
    </row>
    <row r="30" spans="1:1">
      <c r="A30" s="118" t="s">
        <v>279</v>
      </c>
    </row>
    <row r="31" spans="1:1">
      <c r="A31" s="118" t="s">
        <v>280</v>
      </c>
    </row>
    <row r="32" spans="1:1">
      <c r="A32" s="118" t="s">
        <v>281</v>
      </c>
    </row>
    <row r="33" spans="1:1">
      <c r="A33" s="118" t="s">
        <v>282</v>
      </c>
    </row>
    <row r="34" spans="1:1">
      <c r="A34" s="118" t="s">
        <v>283</v>
      </c>
    </row>
    <row r="35" spans="1:1">
      <c r="A35" s="118" t="s">
        <v>284</v>
      </c>
    </row>
    <row r="36" spans="1:1">
      <c r="A36" s="118" t="s">
        <v>285</v>
      </c>
    </row>
    <row r="37" spans="1:1">
      <c r="A37" s="118" t="s">
        <v>286</v>
      </c>
    </row>
    <row r="38" spans="1:1">
      <c r="A38" s="118" t="s">
        <v>287</v>
      </c>
    </row>
    <row r="39" spans="1:1">
      <c r="A39" s="118"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O71"/>
  <sheetViews>
    <sheetView zoomScaleNormal="100" workbookViewId="0">
      <selection activeCell="A2" sqref="A2:K16"/>
    </sheetView>
  </sheetViews>
  <sheetFormatPr defaultRowHeight="14.5"/>
  <cols>
    <col min="1" max="1" width="47" customWidth="1"/>
    <col min="2" max="7" width="13.453125" customWidth="1"/>
    <col min="8" max="8" width="15.1796875" customWidth="1"/>
    <col min="9" max="9" width="11.54296875" customWidth="1"/>
    <col min="10" max="10" width="13.54296875" customWidth="1"/>
    <col min="11" max="20" width="11.54296875" customWidth="1"/>
  </cols>
  <sheetData>
    <row r="1" spans="1:15" ht="15" thickBot="1">
      <c r="A1" t="s">
        <v>194</v>
      </c>
      <c r="L1" s="157"/>
      <c r="M1" s="157"/>
      <c r="N1" s="158"/>
      <c r="O1" s="159"/>
    </row>
    <row r="2" spans="1:15" ht="16" thickBot="1">
      <c r="B2" s="528" t="s">
        <v>90</v>
      </c>
      <c r="C2" s="529"/>
      <c r="D2" s="529"/>
      <c r="E2" s="530"/>
      <c r="F2" s="528" t="s">
        <v>326</v>
      </c>
      <c r="G2" s="529"/>
      <c r="H2" s="529"/>
      <c r="I2" s="530"/>
      <c r="L2" s="157"/>
      <c r="M2" s="157"/>
      <c r="N2" s="158"/>
      <c r="O2" s="159"/>
    </row>
    <row r="3" spans="1:15" ht="36">
      <c r="A3" s="257"/>
      <c r="B3" s="77" t="s">
        <v>327</v>
      </c>
      <c r="C3" s="18" t="s">
        <v>328</v>
      </c>
      <c r="D3" s="18" t="s">
        <v>329</v>
      </c>
      <c r="E3" s="256" t="s">
        <v>330</v>
      </c>
      <c r="F3" s="77" t="s">
        <v>197</v>
      </c>
      <c r="G3" s="18" t="s">
        <v>198</v>
      </c>
      <c r="H3" s="18" t="s">
        <v>199</v>
      </c>
      <c r="I3" s="256" t="s">
        <v>200</v>
      </c>
      <c r="J3" s="260" t="s">
        <v>201</v>
      </c>
      <c r="K3" s="256" t="s">
        <v>108</v>
      </c>
      <c r="L3" s="160"/>
      <c r="M3" s="159"/>
    </row>
    <row r="4" spans="1:15">
      <c r="A4" s="258" t="s">
        <v>109</v>
      </c>
      <c r="B4" s="503">
        <f>'Ap B - Qtr Electric Master'!L28-'Ap B - Qtr Electric Master'!L26</f>
        <v>2496.3376377491209</v>
      </c>
      <c r="C4" s="505">
        <f>'Ap B - Qtr Electric Master'!L26</f>
        <v>17.082999999999998</v>
      </c>
      <c r="D4" s="505">
        <v>0</v>
      </c>
      <c r="E4" s="506">
        <f>SUM(B4:D4)</f>
        <v>2513.4206377491209</v>
      </c>
      <c r="F4" s="503">
        <f>'Ap B - Qtr Electric Master'!N28-'Ap B - Qtr Electric Master'!N26</f>
        <v>15553.703177022273</v>
      </c>
      <c r="G4" s="505">
        <f>'Ap B - Qtr Electric Master'!N26</f>
        <v>40.863</v>
      </c>
      <c r="H4" s="505">
        <v>0</v>
      </c>
      <c r="I4" s="506">
        <f t="shared" ref="I4:I9" si="0">SUM(F4:H4)</f>
        <v>15594.566177022272</v>
      </c>
      <c r="J4" s="503">
        <f>'Table 1'!H5</f>
        <v>11153.881866666667</v>
      </c>
      <c r="K4" s="523">
        <f>I4/J4</f>
        <v>1.3981290427350297</v>
      </c>
      <c r="L4" s="160"/>
    </row>
    <row r="5" spans="1:15">
      <c r="A5" s="258" t="s">
        <v>13</v>
      </c>
      <c r="B5" s="507">
        <f>'Ap B - Qtr Electric Master'!R28-'Ap B - Qtr Electric Master'!R26</f>
        <v>25820.66</v>
      </c>
      <c r="C5" s="505">
        <f>'Ap B - Qtr Electric Master'!R26</f>
        <v>263.48200000000003</v>
      </c>
      <c r="D5" s="505">
        <v>0</v>
      </c>
      <c r="E5" s="506">
        <f>SUM(B5:D5)</f>
        <v>26084.142</v>
      </c>
      <c r="F5" s="507">
        <f>'Ap B - Qtr Electric Master'!S28-'Ap B - Qtr Electric Master'!S26</f>
        <v>176796.17600000001</v>
      </c>
      <c r="G5" s="505">
        <f>'Ap B - Qtr Electric Master'!S26</f>
        <v>642.65200000000004</v>
      </c>
      <c r="H5" s="505">
        <v>0</v>
      </c>
      <c r="I5" s="506">
        <f t="shared" si="0"/>
        <v>177438.82800000001</v>
      </c>
      <c r="J5" s="503">
        <v>159694</v>
      </c>
      <c r="K5" s="523">
        <f>I5/J5</f>
        <v>1.111117687577492</v>
      </c>
      <c r="L5" s="160"/>
    </row>
    <row r="6" spans="1:15">
      <c r="A6" s="258" t="s">
        <v>110</v>
      </c>
      <c r="B6" s="504">
        <v>0.24</v>
      </c>
      <c r="C6" s="517">
        <v>2E-3</v>
      </c>
      <c r="D6" s="517">
        <v>0</v>
      </c>
      <c r="E6" s="518">
        <f t="shared" ref="E6:E9" si="1">SUM(B6:D6)</f>
        <v>0.24199999999999999</v>
      </c>
      <c r="F6" s="504">
        <f>'Ap B - Qtr Electric Master'!Q28-'Ap B - Qtr Electric Master'!Q26</f>
        <v>4.3609999999999998</v>
      </c>
      <c r="G6" s="517">
        <f>'Ap B - Qtr Electric Master'!Q26</f>
        <v>4.0000000000000001E-3</v>
      </c>
      <c r="H6" s="517">
        <v>0</v>
      </c>
      <c r="I6" s="518">
        <f t="shared" si="0"/>
        <v>4.3649999999999993</v>
      </c>
      <c r="J6" s="508"/>
      <c r="K6" s="509"/>
      <c r="L6" s="160"/>
    </row>
    <row r="7" spans="1:15" ht="16.5">
      <c r="A7" s="258" t="s">
        <v>202</v>
      </c>
      <c r="B7" s="504">
        <v>2.99</v>
      </c>
      <c r="C7" s="517">
        <f>C6*15.7</f>
        <v>3.1399999999999997E-2</v>
      </c>
      <c r="D7" s="517">
        <v>0</v>
      </c>
      <c r="E7" s="518">
        <f>SUM(B7:D7)</f>
        <v>3.0214000000000003</v>
      </c>
      <c r="F7" s="504">
        <v>30.85</v>
      </c>
      <c r="G7" s="517">
        <f>G6*15.7</f>
        <v>6.2799999999999995E-2</v>
      </c>
      <c r="H7" s="517">
        <v>0</v>
      </c>
      <c r="I7" s="518">
        <f t="shared" si="0"/>
        <v>30.912800000000001</v>
      </c>
      <c r="J7" s="508"/>
      <c r="K7" s="509"/>
      <c r="L7" s="160"/>
    </row>
    <row r="8" spans="1:15" ht="16.5">
      <c r="A8" s="258" t="s">
        <v>317</v>
      </c>
      <c r="B8" s="503">
        <v>0</v>
      </c>
      <c r="C8" s="505">
        <f>'Ap B - Qtr Electric Master'!R26</f>
        <v>263.48200000000003</v>
      </c>
      <c r="D8" s="505">
        <v>0</v>
      </c>
      <c r="E8" s="506">
        <f t="shared" si="1"/>
        <v>263.48200000000003</v>
      </c>
      <c r="F8" s="503">
        <f>' Ap C - Qtr Electric LMI'!D8/(' Ap C - Qtr Electric LMI'!D8+' Ap C - Qtr Electric LMI'!E8)*'Ap B - Qtr Electric Master'!S8+'Ap B - Qtr Electric Master'!S11</f>
        <v>2320.4520200357074</v>
      </c>
      <c r="G8" s="505">
        <f>'Ap B - Qtr Electric Master'!S26</f>
        <v>642.65200000000004</v>
      </c>
      <c r="H8" s="505">
        <v>0</v>
      </c>
      <c r="I8" s="506">
        <f t="shared" si="0"/>
        <v>2963.1040200357074</v>
      </c>
      <c r="J8" s="508"/>
      <c r="K8" s="509"/>
      <c r="L8" s="160"/>
    </row>
    <row r="9" spans="1:15" ht="16.5">
      <c r="A9" s="258" t="s">
        <v>318</v>
      </c>
      <c r="B9" s="503">
        <f>'Ap B - Qtr Electric Master'!R15+9/9*'Ap B - Qtr Electric Master'!R16</f>
        <v>13314.824000000001</v>
      </c>
      <c r="C9" s="510"/>
      <c r="D9" s="505">
        <v>0</v>
      </c>
      <c r="E9" s="506">
        <f t="shared" si="1"/>
        <v>13314.824000000001</v>
      </c>
      <c r="F9" s="503">
        <f>'Ap B - Qtr Electric Master'!S15+(' Ap D - Qtr Electric Business'!D9/(' Ap D - Qtr Electric Business'!D9+' Ap D - Qtr Electric Business'!E9))*'Ap B - Qtr Electric Master'!S16</f>
        <v>88793.355439999999</v>
      </c>
      <c r="G9" s="510"/>
      <c r="H9" s="505">
        <v>0</v>
      </c>
      <c r="I9" s="506">
        <f t="shared" si="0"/>
        <v>88793.355439999999</v>
      </c>
      <c r="J9" s="508"/>
      <c r="K9" s="509"/>
      <c r="L9" s="160"/>
    </row>
    <row r="10" spans="1:15" ht="17" thickBot="1">
      <c r="A10" s="259" t="s">
        <v>319</v>
      </c>
      <c r="B10" s="511"/>
      <c r="C10" s="512"/>
      <c r="D10" s="513"/>
      <c r="E10" s="514"/>
      <c r="F10" s="519">
        <f>'AP H - CostTest'!G67</f>
        <v>1306416.851682514</v>
      </c>
      <c r="G10" s="520"/>
      <c r="H10" s="521"/>
      <c r="I10" s="522">
        <f>F10</f>
        <v>1306416.851682514</v>
      </c>
      <c r="J10" s="515"/>
      <c r="K10" s="516"/>
      <c r="L10" s="160"/>
    </row>
    <row r="11" spans="1:15">
      <c r="H11" s="160"/>
      <c r="I11" s="160"/>
      <c r="J11" s="160"/>
      <c r="K11" s="160"/>
      <c r="L11" s="160"/>
    </row>
    <row r="12" spans="1:15">
      <c r="A12" s="527" t="s">
        <v>203</v>
      </c>
      <c r="B12" s="527"/>
      <c r="C12" s="527"/>
      <c r="D12" s="527"/>
      <c r="E12" s="527"/>
      <c r="F12" s="527"/>
      <c r="G12" s="527"/>
      <c r="H12" s="527"/>
      <c r="I12" s="527"/>
      <c r="J12" s="527"/>
      <c r="K12" s="527"/>
      <c r="L12" s="160"/>
    </row>
    <row r="13" spans="1:15">
      <c r="A13" s="527" t="s">
        <v>316</v>
      </c>
      <c r="B13" s="527"/>
      <c r="C13" s="527"/>
      <c r="D13" s="527"/>
      <c r="E13" s="527"/>
      <c r="F13" s="527"/>
      <c r="G13" s="527"/>
      <c r="H13" s="527"/>
      <c r="I13" s="527"/>
      <c r="J13" s="527"/>
      <c r="K13" s="527"/>
      <c r="L13" s="160"/>
    </row>
    <row r="14" spans="1:15">
      <c r="A14" s="527" t="s">
        <v>321</v>
      </c>
      <c r="B14" s="527"/>
      <c r="C14" s="527"/>
      <c r="D14" s="527"/>
      <c r="E14" s="527"/>
      <c r="F14" s="527"/>
      <c r="G14" s="527"/>
      <c r="H14" s="527"/>
      <c r="I14" s="527"/>
      <c r="J14" s="527"/>
      <c r="K14" s="527"/>
      <c r="L14" s="160"/>
    </row>
    <row r="15" spans="1:15">
      <c r="A15" s="527" t="s">
        <v>322</v>
      </c>
      <c r="B15" s="527"/>
      <c r="C15" s="527"/>
      <c r="D15" s="527"/>
      <c r="E15" s="527"/>
      <c r="F15" s="527"/>
      <c r="G15" s="527"/>
      <c r="H15" s="527"/>
      <c r="I15" s="527"/>
      <c r="J15" s="527"/>
      <c r="K15" s="527"/>
      <c r="L15" s="160"/>
    </row>
    <row r="16" spans="1:15">
      <c r="A16" s="527" t="s">
        <v>320</v>
      </c>
      <c r="B16" s="527"/>
      <c r="C16" s="527"/>
      <c r="D16" s="527"/>
      <c r="E16" s="527"/>
      <c r="F16" s="527"/>
      <c r="G16" s="527"/>
      <c r="H16" s="527"/>
      <c r="I16" s="527"/>
      <c r="J16" s="527"/>
      <c r="K16" s="527"/>
      <c r="L16" s="160"/>
    </row>
    <row r="17" spans="1:12" ht="43.5">
      <c r="G17" s="161"/>
      <c r="H17" s="160"/>
      <c r="I17" s="255" t="s">
        <v>195</v>
      </c>
      <c r="J17" s="255" t="s">
        <v>196</v>
      </c>
      <c r="K17" s="160"/>
      <c r="L17" s="160"/>
    </row>
    <row r="18" spans="1:12">
      <c r="A18" s="160" t="s">
        <v>204</v>
      </c>
      <c r="F18" s="161"/>
      <c r="I18" s="254">
        <f>K4</f>
        <v>1.3981290427350297</v>
      </c>
      <c r="J18" s="254">
        <f>E36</f>
        <v>0.80747001477968683</v>
      </c>
      <c r="K18" s="160"/>
      <c r="L18" s="160"/>
    </row>
    <row r="19" spans="1:12" ht="36">
      <c r="A19" s="127" t="s">
        <v>181</v>
      </c>
      <c r="B19" s="127" t="s">
        <v>111</v>
      </c>
      <c r="C19" s="128" t="s">
        <v>112</v>
      </c>
      <c r="D19" s="128" t="s">
        <v>113</v>
      </c>
      <c r="E19" s="129" t="s">
        <v>114</v>
      </c>
      <c r="F19" s="161"/>
    </row>
    <row r="20" spans="1:12" ht="16.5">
      <c r="A20" s="131" t="s">
        <v>353</v>
      </c>
      <c r="B20" s="132">
        <f>'Ap B - Qtr Electric Master'!D12</f>
        <v>39369</v>
      </c>
      <c r="C20" s="132">
        <f>'Ap B - Qtr Electric Master'!F12</f>
        <v>63847</v>
      </c>
      <c r="D20" s="132">
        <f>'Ap B - Qtr Electric Master'!E12</f>
        <v>2702</v>
      </c>
      <c r="E20" s="133">
        <f>C20/D20</f>
        <v>23.629533678756477</v>
      </c>
      <c r="F20" s="161"/>
    </row>
    <row r="21" spans="1:12">
      <c r="A21" s="131" t="s">
        <v>26</v>
      </c>
      <c r="B21" s="132">
        <f>'Ap B - Qtr Electric Master'!D19</f>
        <v>0</v>
      </c>
      <c r="C21" s="132">
        <f>'Ap B - Qtr Electric Master'!F19</f>
        <v>0</v>
      </c>
      <c r="D21" s="132">
        <f>'Ap B - Qtr Electric Master'!E19</f>
        <v>28</v>
      </c>
      <c r="E21" s="133">
        <f t="shared" ref="E21:E26" si="2">C21/D21</f>
        <v>0</v>
      </c>
      <c r="F21" s="161"/>
    </row>
    <row r="22" spans="1:12">
      <c r="A22" s="131" t="s">
        <v>115</v>
      </c>
      <c r="B22" s="132">
        <f>'Ap B - Qtr Electric Master'!D17</f>
        <v>18</v>
      </c>
      <c r="C22" s="132">
        <f>'Ap B - Qtr Electric Master'!F17</f>
        <v>177</v>
      </c>
      <c r="D22" s="132">
        <f>'Ap B - Qtr Electric Master'!E17</f>
        <v>317</v>
      </c>
      <c r="E22" s="133">
        <f t="shared" si="2"/>
        <v>0.55835962145110407</v>
      </c>
      <c r="F22" s="161"/>
    </row>
    <row r="23" spans="1:12" ht="16.5">
      <c r="A23" s="12" t="s">
        <v>354</v>
      </c>
      <c r="B23" s="132">
        <f>'Ap B - Qtr Electric Master'!D21+'Ap B - Qtr Electric Master'!D22</f>
        <v>204</v>
      </c>
      <c r="C23" s="132">
        <f>'Ap B - Qtr Electric Master'!F21+'Ap B - Qtr Electric Master'!F22</f>
        <v>18699</v>
      </c>
      <c r="D23" s="132">
        <f>'Ap B - Qtr Electric Master'!E21</f>
        <v>1008</v>
      </c>
      <c r="E23" s="133">
        <f t="shared" si="2"/>
        <v>18.550595238095237</v>
      </c>
      <c r="F23" s="161"/>
    </row>
    <row r="24" spans="1:12">
      <c r="A24" s="9" t="s">
        <v>57</v>
      </c>
      <c r="B24" s="132">
        <f>'Ap B - Qtr Electric Master'!D23</f>
        <v>3</v>
      </c>
      <c r="C24" s="132">
        <f>'Ap B - Qtr Electric Master'!F23</f>
        <v>4</v>
      </c>
      <c r="D24" s="132">
        <f>'Ap B - Qtr Electric Master'!E23</f>
        <v>144</v>
      </c>
      <c r="E24" s="133">
        <f t="shared" si="2"/>
        <v>2.7777777777777776E-2</v>
      </c>
      <c r="F24" s="161"/>
    </row>
    <row r="25" spans="1:12">
      <c r="A25" s="134" t="s">
        <v>116</v>
      </c>
      <c r="B25" s="135">
        <f>SUM(B20:B24)</f>
        <v>39594</v>
      </c>
      <c r="C25" s="135">
        <f>SUM(C20:C24)</f>
        <v>82727</v>
      </c>
      <c r="D25" s="135">
        <f>SUM(D20:D24)</f>
        <v>4199</v>
      </c>
      <c r="E25" s="136">
        <f>C25/D25</f>
        <v>19.701595618004287</v>
      </c>
      <c r="F25" s="161"/>
    </row>
    <row r="26" spans="1:12">
      <c r="A26" s="131" t="s">
        <v>117</v>
      </c>
      <c r="B26" s="132">
        <f>'Ap B - Qtr Electric Master'!D26</f>
        <v>14</v>
      </c>
      <c r="C26" s="132">
        <f>'Ap B - Qtr Electric Master'!F26</f>
        <v>32</v>
      </c>
      <c r="D26" s="132">
        <f>'Ap B - Qtr Electric Master'!E26</f>
        <v>37</v>
      </c>
      <c r="E26" s="133">
        <f t="shared" si="2"/>
        <v>0.86486486486486491</v>
      </c>
      <c r="F26" s="161"/>
    </row>
    <row r="27" spans="1:12">
      <c r="A27" s="134" t="s">
        <v>118</v>
      </c>
      <c r="B27" s="135">
        <f>B25+B26</f>
        <v>39608</v>
      </c>
      <c r="C27" s="135">
        <f>C25+C26</f>
        <v>82759</v>
      </c>
      <c r="D27" s="135">
        <f>D25+D26</f>
        <v>4236</v>
      </c>
      <c r="E27" s="136">
        <f>C27/D27</f>
        <v>19.53706326723324</v>
      </c>
      <c r="F27" s="161"/>
    </row>
    <row r="29" spans="1:12">
      <c r="A29" t="s">
        <v>205</v>
      </c>
    </row>
    <row r="30" spans="1:12" ht="36">
      <c r="A30" s="127" t="s">
        <v>182</v>
      </c>
      <c r="B30" s="127" t="s">
        <v>119</v>
      </c>
      <c r="C30" s="128" t="s">
        <v>120</v>
      </c>
      <c r="D30" s="128" t="s">
        <v>121</v>
      </c>
      <c r="E30" s="129" t="s">
        <v>122</v>
      </c>
    </row>
    <row r="31" spans="1:12">
      <c r="A31" s="131" t="s">
        <v>78</v>
      </c>
      <c r="B31" s="296">
        <f>'Ap B - Qtr Electric Master'!H12</f>
        <v>104.36199999999999</v>
      </c>
      <c r="C31" s="296">
        <f>'Ap B - Qtr Electric Master'!J12</f>
        <v>782.63699999999994</v>
      </c>
      <c r="D31" s="296">
        <f>'Ap B - Qtr Electric Master'!I12</f>
        <v>1920.1899999999998</v>
      </c>
      <c r="E31" s="133">
        <f>C31/D31</f>
        <v>0.40758310375535756</v>
      </c>
    </row>
    <row r="32" spans="1:12">
      <c r="A32" s="131" t="s">
        <v>26</v>
      </c>
      <c r="B32" s="296">
        <f>'Ap B - Qtr Electric Master'!H19</f>
        <v>11.25</v>
      </c>
      <c r="C32" s="296">
        <f>'Ap B - Qtr Electric Master'!J19</f>
        <v>52.491999999999997</v>
      </c>
      <c r="D32" s="296">
        <f>'Ap B - Qtr Electric Master'!I19</f>
        <v>395.113</v>
      </c>
      <c r="E32" s="133">
        <f t="shared" ref="E32:E37" si="3">C32/D32</f>
        <v>0.1328531331543128</v>
      </c>
    </row>
    <row r="33" spans="1:10">
      <c r="A33" s="131" t="s">
        <v>115</v>
      </c>
      <c r="B33" s="296">
        <f>'Ap B - Qtr Electric Master'!H17</f>
        <v>351.21100000000001</v>
      </c>
      <c r="C33" s="296">
        <f>'Ap B - Qtr Electric Master'!J17</f>
        <v>3432.7849999999999</v>
      </c>
      <c r="D33" s="296">
        <f>'Ap B - Qtr Electric Master'!I17</f>
        <v>2582.2439999999997</v>
      </c>
      <c r="E33" s="133">
        <f t="shared" si="3"/>
        <v>1.3293805697680003</v>
      </c>
    </row>
    <row r="34" spans="1:10">
      <c r="A34" s="12" t="s">
        <v>59</v>
      </c>
      <c r="B34" s="296">
        <f>'Ap B - Qtr Electric Master'!H21+'Ap B - Qtr Electric Master'!H22</f>
        <v>89.971999999999994</v>
      </c>
      <c r="C34" s="296">
        <f>'Ap B - Qtr Electric Master'!J21+'Ap B - Qtr Electric Master'!J22</f>
        <v>364.26299999999998</v>
      </c>
      <c r="D34" s="296">
        <f>'Ap B - Qtr Electric Master'!I21</f>
        <v>377.61200000000002</v>
      </c>
      <c r="E34" s="133">
        <f t="shared" si="3"/>
        <v>0.96464889886973915</v>
      </c>
    </row>
    <row r="35" spans="1:10">
      <c r="A35" s="9" t="s">
        <v>57</v>
      </c>
      <c r="B35" s="296">
        <f>'Ap B - Qtr Electric Master'!H23</f>
        <v>43.939</v>
      </c>
      <c r="C35" s="296">
        <f>'Ap B - Qtr Electric Master'!J23</f>
        <v>117.68300000000001</v>
      </c>
      <c r="D35" s="296">
        <f>'Ap B - Qtr Electric Master'!I23</f>
        <v>607.23900000000003</v>
      </c>
      <c r="E35" s="133">
        <f t="shared" si="3"/>
        <v>0.19380013470808036</v>
      </c>
    </row>
    <row r="36" spans="1:10">
      <c r="A36" s="134" t="s">
        <v>116</v>
      </c>
      <c r="B36" s="297">
        <f>SUM(B31:B35)</f>
        <v>600.73399999999992</v>
      </c>
      <c r="C36" s="297">
        <f t="shared" ref="C36:D36" si="4">SUM(C31:C35)</f>
        <v>4749.8599999999997</v>
      </c>
      <c r="D36" s="297">
        <f t="shared" si="4"/>
        <v>5882.3979999999992</v>
      </c>
      <c r="E36" s="269">
        <f>C36/D36</f>
        <v>0.80747001477968683</v>
      </c>
    </row>
    <row r="37" spans="1:10">
      <c r="A37" s="131" t="s">
        <v>117</v>
      </c>
      <c r="B37" s="296">
        <f>'Ap B - Qtr Electric Master'!H26</f>
        <v>47.774999999999999</v>
      </c>
      <c r="C37" s="296">
        <f>'Ap B - Qtr Electric Master'!J26</f>
        <v>126.724</v>
      </c>
      <c r="D37" s="296">
        <f>'Ap B - Qtr Electric Master'!I26</f>
        <v>311.2</v>
      </c>
      <c r="E37" s="133">
        <f t="shared" si="3"/>
        <v>0.40721079691516709</v>
      </c>
    </row>
    <row r="38" spans="1:10">
      <c r="A38" s="134" t="s">
        <v>118</v>
      </c>
      <c r="B38" s="297">
        <f>B36+B37</f>
        <v>648.5089999999999</v>
      </c>
      <c r="C38" s="297">
        <f t="shared" ref="C38" si="5">C36+C37</f>
        <v>4876.5839999999998</v>
      </c>
      <c r="D38" s="297">
        <f>D36+D37</f>
        <v>6193.597999999999</v>
      </c>
      <c r="E38" s="269">
        <f>C38/D38</f>
        <v>0.78735881792780227</v>
      </c>
    </row>
    <row r="39" spans="1:10">
      <c r="A39" s="272" t="s">
        <v>346</v>
      </c>
    </row>
    <row r="40" spans="1:10">
      <c r="A40" s="271"/>
    </row>
    <row r="41" spans="1:10">
      <c r="A41" t="s">
        <v>206</v>
      </c>
    </row>
    <row r="42" spans="1:10" ht="36">
      <c r="A42" s="127" t="s">
        <v>183</v>
      </c>
      <c r="B42" s="127" t="s">
        <v>123</v>
      </c>
      <c r="C42" s="128" t="s">
        <v>124</v>
      </c>
      <c r="D42" s="128" t="s">
        <v>125</v>
      </c>
      <c r="E42" s="129" t="s">
        <v>126</v>
      </c>
    </row>
    <row r="43" spans="1:10">
      <c r="A43" s="131" t="s">
        <v>78</v>
      </c>
      <c r="B43" s="132">
        <f>'Ap B - Qtr Electric Master'!L12</f>
        <v>1565.453</v>
      </c>
      <c r="C43" s="132">
        <f>'Ap B - Qtr Electric Master'!N12</f>
        <v>6829.3069999999989</v>
      </c>
      <c r="D43" s="132">
        <f>'Ap B - Qtr Electric Master'!M12</f>
        <v>4944</v>
      </c>
      <c r="E43" s="133">
        <f>C43/D43</f>
        <v>1.3813323220064722</v>
      </c>
      <c r="I43" s="157"/>
      <c r="J43" s="157"/>
    </row>
    <row r="44" spans="1:10">
      <c r="A44" s="131" t="s">
        <v>26</v>
      </c>
      <c r="B44" s="132">
        <f>'Ap B - Qtr Electric Master'!L19</f>
        <v>0</v>
      </c>
      <c r="C44" s="132">
        <f>'Ap B - Qtr Electric Master'!N19</f>
        <v>0</v>
      </c>
      <c r="D44" s="132">
        <f>'Ap B - Qtr Electric Master'!M19</f>
        <v>346</v>
      </c>
      <c r="E44" s="133">
        <f t="shared" ref="E44:E47" si="6">C44/D44</f>
        <v>0</v>
      </c>
      <c r="I44" s="162"/>
      <c r="J44" s="162"/>
    </row>
    <row r="45" spans="1:10">
      <c r="A45" s="131" t="s">
        <v>115</v>
      </c>
      <c r="B45" s="132">
        <f>'Ap B - Qtr Electric Master'!L17</f>
        <v>894.13200000000006</v>
      </c>
      <c r="C45" s="132">
        <f>'Ap B - Qtr Electric Master'!N17</f>
        <v>8680.4629999999997</v>
      </c>
      <c r="D45" s="132">
        <f>'Ap B - Qtr Electric Master'!M17</f>
        <v>6337</v>
      </c>
      <c r="E45" s="133">
        <f t="shared" si="6"/>
        <v>1.3698063752564305</v>
      </c>
      <c r="I45" s="34"/>
      <c r="J45" s="163"/>
    </row>
    <row r="46" spans="1:10">
      <c r="A46" s="12" t="s">
        <v>59</v>
      </c>
      <c r="B46" s="132">
        <v>0</v>
      </c>
      <c r="C46" s="132">
        <v>0</v>
      </c>
      <c r="D46" s="132">
        <v>0</v>
      </c>
      <c r="E46" s="133">
        <v>0</v>
      </c>
      <c r="I46" s="34"/>
      <c r="J46" s="163"/>
    </row>
    <row r="47" spans="1:10">
      <c r="A47" s="9" t="s">
        <v>57</v>
      </c>
      <c r="B47" s="132">
        <f>'Ap B - Qtr Electric Master'!L23</f>
        <v>36.752637749120751</v>
      </c>
      <c r="C47" s="132">
        <f>'Ap B - Qtr Electric Master'!N23</f>
        <v>43.933177022274329</v>
      </c>
      <c r="D47" s="132">
        <f>'Ap B - Qtr Electric Master'!M24</f>
        <v>1021.1019929660024</v>
      </c>
      <c r="E47" s="133">
        <f t="shared" si="6"/>
        <v>4.3025258323765789E-2</v>
      </c>
      <c r="I47" s="34"/>
      <c r="J47" s="163"/>
    </row>
    <row r="48" spans="1:10">
      <c r="A48" s="134" t="s">
        <v>116</v>
      </c>
      <c r="B48" s="135">
        <f>SUM(B43:B47)</f>
        <v>2496.3376377491209</v>
      </c>
      <c r="C48" s="135">
        <f t="shared" ref="C48" si="7">SUM(C43:C47)</f>
        <v>15553.703177022273</v>
      </c>
      <c r="D48" s="135">
        <f>SUM(D43:D45)</f>
        <v>11627</v>
      </c>
      <c r="E48" s="269">
        <f>C48/D48</f>
        <v>1.3377228156035326</v>
      </c>
    </row>
    <row r="49" spans="1:5">
      <c r="A49" s="131" t="s">
        <v>117</v>
      </c>
      <c r="B49" s="132">
        <f>'Ap B - Qtr Electric Master'!L26</f>
        <v>17.082999999999998</v>
      </c>
      <c r="C49" s="132">
        <f>'Ap B - Qtr Electric Master'!N26</f>
        <v>40.863</v>
      </c>
      <c r="D49" s="132" t="s">
        <v>312</v>
      </c>
      <c r="E49" s="133" t="s">
        <v>312</v>
      </c>
    </row>
    <row r="50" spans="1:5">
      <c r="A50" s="134" t="s">
        <v>118</v>
      </c>
      <c r="B50" s="135">
        <f>B48+B49</f>
        <v>2513.4206377491209</v>
      </c>
      <c r="C50" s="135">
        <f t="shared" ref="C50" si="8">C48+C49</f>
        <v>15594.566177022272</v>
      </c>
      <c r="D50" s="135">
        <f>D48</f>
        <v>11627</v>
      </c>
      <c r="E50" s="269">
        <f>C50/D50</f>
        <v>1.3412373077339186</v>
      </c>
    </row>
    <row r="52" spans="1:5" ht="16.5">
      <c r="A52" t="s">
        <v>344</v>
      </c>
    </row>
    <row r="53" spans="1:5" ht="24">
      <c r="A53" s="127" t="s">
        <v>127</v>
      </c>
      <c r="B53" s="127" t="s">
        <v>128</v>
      </c>
      <c r="C53" s="128" t="s">
        <v>129</v>
      </c>
      <c r="D53" s="128" t="s">
        <v>130</v>
      </c>
      <c r="E53" s="129" t="s">
        <v>131</v>
      </c>
    </row>
    <row r="54" spans="1:5">
      <c r="A54" s="244" t="s">
        <v>132</v>
      </c>
      <c r="B54" s="245"/>
      <c r="C54" s="245"/>
      <c r="D54" s="245"/>
      <c r="E54" s="246"/>
    </row>
    <row r="55" spans="1:5">
      <c r="A55" s="131" t="s">
        <v>133</v>
      </c>
      <c r="B55" s="296">
        <v>100.46299999999999</v>
      </c>
      <c r="C55" s="296">
        <v>386.23200000000003</v>
      </c>
      <c r="D55" s="296">
        <v>332.35</v>
      </c>
      <c r="E55" s="133">
        <f>C55/D55</f>
        <v>1.16212426658643</v>
      </c>
    </row>
    <row r="56" spans="1:5">
      <c r="A56" s="131" t="s">
        <v>134</v>
      </c>
      <c r="B56" s="296">
        <v>20.669</v>
      </c>
      <c r="C56" s="296">
        <v>125.069</v>
      </c>
      <c r="D56" s="296">
        <v>177.249</v>
      </c>
      <c r="E56" s="133">
        <f t="shared" ref="E56:E61" si="9">C56/D56</f>
        <v>0.70561187933359293</v>
      </c>
    </row>
    <row r="57" spans="1:5">
      <c r="A57" s="131" t="s">
        <v>135</v>
      </c>
      <c r="B57" s="296">
        <v>94.543000000000006</v>
      </c>
      <c r="C57" s="296">
        <v>646.28200000000004</v>
      </c>
      <c r="D57" s="296">
        <v>1284.8979999999999</v>
      </c>
      <c r="E57" s="133">
        <f t="shared" si="9"/>
        <v>0.50298311616953262</v>
      </c>
    </row>
    <row r="58" spans="1:5">
      <c r="A58" s="131" t="s">
        <v>136</v>
      </c>
      <c r="B58" s="296">
        <v>385.05799999999999</v>
      </c>
      <c r="C58" s="296">
        <v>3447.6460000000002</v>
      </c>
      <c r="D58" s="296">
        <v>3340.192</v>
      </c>
      <c r="E58" s="133">
        <f t="shared" si="9"/>
        <v>1.0321700069936099</v>
      </c>
    </row>
    <row r="59" spans="1:5">
      <c r="A59" s="131" t="s">
        <v>137</v>
      </c>
      <c r="B59" s="296">
        <v>0</v>
      </c>
      <c r="C59" s="296">
        <v>0</v>
      </c>
      <c r="D59" s="296">
        <v>471.36599999999999</v>
      </c>
      <c r="E59" s="133">
        <f t="shared" si="9"/>
        <v>0</v>
      </c>
    </row>
    <row r="60" spans="1:5">
      <c r="A60" s="131" t="s">
        <v>138</v>
      </c>
      <c r="B60" s="296">
        <v>0</v>
      </c>
      <c r="C60" s="296">
        <v>144.63</v>
      </c>
      <c r="D60" s="296">
        <v>240.69399999999999</v>
      </c>
      <c r="E60" s="133">
        <f t="shared" si="9"/>
        <v>0.60088743383715426</v>
      </c>
    </row>
    <row r="61" spans="1:5">
      <c r="A61" s="131" t="s">
        <v>139</v>
      </c>
      <c r="B61" s="296">
        <v>0</v>
      </c>
      <c r="C61" s="296">
        <v>0</v>
      </c>
      <c r="D61" s="296">
        <v>35.649000000000001</v>
      </c>
      <c r="E61" s="133">
        <f t="shared" si="9"/>
        <v>0</v>
      </c>
    </row>
    <row r="62" spans="1:5">
      <c r="A62" s="247" t="s">
        <v>323</v>
      </c>
      <c r="B62" s="296">
        <f>'Ap B - Qtr Electric Master'!H27</f>
        <v>11.552</v>
      </c>
      <c r="C62" s="296">
        <f>'Ap B - Qtr Electric Master'!J27</f>
        <v>12.984</v>
      </c>
      <c r="D62" s="296" t="s">
        <v>312</v>
      </c>
      <c r="E62" s="137" t="s">
        <v>312</v>
      </c>
    </row>
    <row r="63" spans="1:5">
      <c r="A63" s="134" t="s">
        <v>118</v>
      </c>
      <c r="B63" s="297">
        <f>SUM(B55:B62)</f>
        <v>612.28499999999997</v>
      </c>
      <c r="C63" s="297">
        <f>SUM(C55:C62)</f>
        <v>4762.8430000000008</v>
      </c>
      <c r="D63" s="297">
        <f>SUM(D55:D62)</f>
        <v>5882.398000000001</v>
      </c>
      <c r="E63" s="133">
        <f>C63/D63</f>
        <v>0.80967710787335367</v>
      </c>
    </row>
    <row r="64" spans="1:5">
      <c r="A64" s="272" t="s">
        <v>345</v>
      </c>
    </row>
    <row r="71" spans="1:1">
      <c r="A71" s="160"/>
    </row>
  </sheetData>
  <mergeCells count="7">
    <mergeCell ref="A15:K15"/>
    <mergeCell ref="A16:K16"/>
    <mergeCell ref="B2:E2"/>
    <mergeCell ref="F2:I2"/>
    <mergeCell ref="A12:K12"/>
    <mergeCell ref="A13:K13"/>
    <mergeCell ref="A14:K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O54"/>
  <sheetViews>
    <sheetView zoomScaleNormal="100" workbookViewId="0">
      <selection activeCell="B3" sqref="B3:I54"/>
    </sheetView>
  </sheetViews>
  <sheetFormatPr defaultRowHeight="14.5"/>
  <cols>
    <col min="1" max="1" width="6.1796875" customWidth="1"/>
    <col min="2" max="2" width="43.54296875" customWidth="1"/>
    <col min="3" max="5" width="13.453125" customWidth="1"/>
    <col min="6" max="6" width="9" customWidth="1"/>
    <col min="7" max="8" width="13.453125" customWidth="1"/>
    <col min="9" max="9" width="10.08984375" bestFit="1" customWidth="1"/>
    <col min="10" max="20" width="11.54296875" customWidth="1"/>
  </cols>
  <sheetData>
    <row r="2" spans="2:15">
      <c r="B2" t="s">
        <v>207</v>
      </c>
    </row>
    <row r="3" spans="2:15" ht="47.15" customHeight="1">
      <c r="B3" s="138" t="s">
        <v>208</v>
      </c>
      <c r="C3" s="139" t="s">
        <v>209</v>
      </c>
      <c r="D3" s="164" t="s">
        <v>210</v>
      </c>
      <c r="E3" s="164" t="s">
        <v>293</v>
      </c>
      <c r="F3" s="157"/>
      <c r="G3" s="157"/>
      <c r="J3" s="13" t="s">
        <v>306</v>
      </c>
      <c r="L3" s="157"/>
      <c r="M3" s="157"/>
      <c r="N3" s="157"/>
      <c r="O3" s="157"/>
    </row>
    <row r="4" spans="2:15">
      <c r="B4" s="165" t="s">
        <v>211</v>
      </c>
      <c r="C4" s="434">
        <v>1664</v>
      </c>
      <c r="D4" s="434">
        <v>71720</v>
      </c>
      <c r="E4" s="438">
        <f>C4/(C4+D4)</f>
        <v>2.2675242559686035E-2</v>
      </c>
      <c r="F4" s="44"/>
      <c r="G4" s="44"/>
      <c r="I4" s="65"/>
      <c r="J4" s="65"/>
      <c r="L4" s="160"/>
      <c r="M4" s="159"/>
      <c r="N4" s="158"/>
      <c r="O4" s="159"/>
    </row>
    <row r="5" spans="2:15">
      <c r="B5" s="166" t="s">
        <v>212</v>
      </c>
      <c r="C5" s="436">
        <v>1397</v>
      </c>
      <c r="D5" s="436">
        <v>63214</v>
      </c>
      <c r="E5" s="438">
        <f t="shared" ref="E5:E6" si="0">C5/(C5+D5)</f>
        <v>2.1621705282382258E-2</v>
      </c>
      <c r="F5" s="44"/>
      <c r="G5" s="44"/>
      <c r="L5" s="160"/>
    </row>
    <row r="6" spans="2:15">
      <c r="B6" s="165" t="s">
        <v>213</v>
      </c>
      <c r="C6" s="434">
        <v>286</v>
      </c>
      <c r="D6" s="434">
        <v>8487</v>
      </c>
      <c r="E6" s="438">
        <f t="shared" si="0"/>
        <v>3.2600022797218742E-2</v>
      </c>
      <c r="F6" s="44"/>
      <c r="G6" s="44"/>
      <c r="L6" s="160"/>
    </row>
    <row r="7" spans="2:15">
      <c r="B7" s="167" t="s">
        <v>275</v>
      </c>
      <c r="C7" s="437">
        <v>28050.538</v>
      </c>
      <c r="D7" s="437">
        <v>1504283</v>
      </c>
      <c r="E7" s="439">
        <f>C7/(C7+D7)</f>
        <v>1.8305765229554089E-2</v>
      </c>
      <c r="F7" s="168"/>
      <c r="G7" s="168"/>
      <c r="H7" s="2"/>
      <c r="I7" s="162"/>
      <c r="J7" s="447"/>
      <c r="L7" s="160"/>
    </row>
    <row r="8" spans="2:15">
      <c r="H8" s="160"/>
      <c r="I8" s="160"/>
      <c r="J8" s="160"/>
      <c r="K8" s="160"/>
      <c r="L8" s="160"/>
    </row>
    <row r="9" spans="2:15" ht="25.5">
      <c r="B9" s="127"/>
      <c r="C9" s="127" t="s">
        <v>214</v>
      </c>
      <c r="D9" s="139" t="s">
        <v>215</v>
      </c>
      <c r="E9" s="164" t="s">
        <v>216</v>
      </c>
      <c r="F9" s="164" t="s">
        <v>293</v>
      </c>
      <c r="G9" s="139" t="s">
        <v>217</v>
      </c>
      <c r="H9" s="164" t="s">
        <v>218</v>
      </c>
      <c r="I9" s="164" t="s">
        <v>293</v>
      </c>
      <c r="J9" s="160"/>
      <c r="K9" s="160"/>
      <c r="L9" s="160"/>
    </row>
    <row r="10" spans="2:15">
      <c r="B10" s="531" t="s">
        <v>4</v>
      </c>
      <c r="C10" s="531"/>
      <c r="D10" s="531"/>
      <c r="E10" s="531"/>
      <c r="F10" s="531"/>
      <c r="G10" s="531"/>
      <c r="H10" s="531"/>
      <c r="I10" s="531"/>
      <c r="J10" s="160"/>
      <c r="K10" s="160"/>
      <c r="L10" s="160"/>
    </row>
    <row r="11" spans="2:15">
      <c r="B11" s="131" t="s">
        <v>221</v>
      </c>
      <c r="C11" s="131" t="s">
        <v>356</v>
      </c>
      <c r="D11" s="440">
        <v>759.6747637658932</v>
      </c>
      <c r="E11" s="441">
        <v>34378.325236234108</v>
      </c>
      <c r="F11" s="438">
        <f>D11/(D11+E11)</f>
        <v>2.1619749666056499E-2</v>
      </c>
      <c r="G11" s="350">
        <v>759.6747637658932</v>
      </c>
      <c r="H11" s="440">
        <v>34378.325236234108</v>
      </c>
      <c r="I11" s="438">
        <f>G11/(G11+H11)</f>
        <v>2.1619749666056499E-2</v>
      </c>
      <c r="J11" s="448"/>
      <c r="K11" s="448"/>
      <c r="L11" s="160"/>
    </row>
    <row r="12" spans="2:15">
      <c r="B12" s="131" t="s">
        <v>219</v>
      </c>
      <c r="C12" s="131" t="s">
        <v>356</v>
      </c>
      <c r="D12" s="440">
        <v>12.483894762724367</v>
      </c>
      <c r="E12" s="441">
        <v>4218.516105237276</v>
      </c>
      <c r="F12" s="438">
        <f t="shared" ref="F12:F24" si="1">D12/(D12+E12)</f>
        <v>2.9505778214900416E-3</v>
      </c>
      <c r="G12" s="350">
        <v>196.05047579644187</v>
      </c>
      <c r="H12" s="440">
        <v>25008.949524203559</v>
      </c>
      <c r="I12" s="438">
        <f t="shared" ref="I12:I24" si="2">G12/(G12+H12)</f>
        <v>7.7782374844848987E-3</v>
      </c>
      <c r="J12" s="448"/>
      <c r="K12" s="448"/>
      <c r="L12" s="160"/>
    </row>
    <row r="13" spans="2:15" ht="29">
      <c r="B13" s="131" t="s">
        <v>347</v>
      </c>
      <c r="C13" s="131" t="s">
        <v>356</v>
      </c>
      <c r="D13" s="440">
        <v>0</v>
      </c>
      <c r="E13" s="441">
        <v>0</v>
      </c>
      <c r="F13" s="438">
        <v>0</v>
      </c>
      <c r="G13" s="350">
        <v>0</v>
      </c>
      <c r="H13" s="440">
        <v>0</v>
      </c>
      <c r="I13" s="438">
        <v>0</v>
      </c>
      <c r="J13" s="448"/>
      <c r="K13" s="448"/>
    </row>
    <row r="14" spans="2:15">
      <c r="B14" s="131" t="s">
        <v>220</v>
      </c>
      <c r="C14" s="131" t="s">
        <v>356</v>
      </c>
      <c r="D14" s="440">
        <v>0</v>
      </c>
      <c r="E14" s="441">
        <v>0</v>
      </c>
      <c r="F14" s="438">
        <v>0</v>
      </c>
      <c r="G14" s="350">
        <v>0</v>
      </c>
      <c r="H14" s="440">
        <v>3504</v>
      </c>
      <c r="I14" s="438">
        <v>0</v>
      </c>
      <c r="J14" s="448"/>
      <c r="K14" s="448"/>
    </row>
    <row r="15" spans="2:15">
      <c r="B15" s="131" t="s">
        <v>222</v>
      </c>
      <c r="C15" s="131" t="s">
        <v>356</v>
      </c>
      <c r="D15" s="440">
        <v>0</v>
      </c>
      <c r="E15" s="441">
        <v>9</v>
      </c>
      <c r="F15" s="438">
        <f t="shared" si="1"/>
        <v>0</v>
      </c>
      <c r="G15" s="350">
        <v>0</v>
      </c>
      <c r="H15" s="440">
        <v>52</v>
      </c>
      <c r="I15" s="438">
        <f t="shared" si="2"/>
        <v>0</v>
      </c>
      <c r="J15" s="448"/>
      <c r="K15" s="448"/>
    </row>
    <row r="16" spans="2:15" ht="29">
      <c r="B16" s="131" t="s">
        <v>348</v>
      </c>
      <c r="C16" s="131" t="s">
        <v>356</v>
      </c>
      <c r="D16" s="440">
        <v>0</v>
      </c>
      <c r="E16" s="441">
        <v>9</v>
      </c>
      <c r="F16" s="438">
        <f t="shared" si="1"/>
        <v>0</v>
      </c>
      <c r="G16" s="350">
        <v>0</v>
      </c>
      <c r="H16" s="440">
        <v>125</v>
      </c>
      <c r="I16" s="438">
        <f t="shared" si="2"/>
        <v>0</v>
      </c>
      <c r="J16" s="448"/>
      <c r="K16" s="448"/>
    </row>
    <row r="17" spans="2:11">
      <c r="B17" s="270" t="s">
        <v>53</v>
      </c>
      <c r="C17" s="17" t="s">
        <v>356</v>
      </c>
      <c r="D17" s="350">
        <v>0</v>
      </c>
      <c r="E17" s="350">
        <v>0</v>
      </c>
      <c r="F17" s="438">
        <v>0</v>
      </c>
      <c r="G17" s="350">
        <v>0</v>
      </c>
      <c r="H17" s="350">
        <v>0</v>
      </c>
      <c r="I17" s="438">
        <v>0</v>
      </c>
      <c r="J17" s="448"/>
      <c r="K17" s="448"/>
    </row>
    <row r="18" spans="2:11">
      <c r="B18" s="275" t="s">
        <v>223</v>
      </c>
      <c r="C18" s="17"/>
      <c r="D18" s="442">
        <f>SUM(D11:D17)</f>
        <v>772.15865852861759</v>
      </c>
      <c r="E18" s="442">
        <f>SUM(E11:E17)</f>
        <v>38614.841341471387</v>
      </c>
      <c r="F18" s="443">
        <f>D18/(D18+E18)</f>
        <v>1.9604403953807536E-2</v>
      </c>
      <c r="G18" s="442">
        <f>SUM(G11:G17)</f>
        <v>955.7252395623351</v>
      </c>
      <c r="H18" s="442">
        <f>SUM(H11:H17)</f>
        <v>63068.274760437664</v>
      </c>
      <c r="I18" s="443">
        <f>G18/(G18+H18)</f>
        <v>1.4927609014780943E-2</v>
      </c>
      <c r="J18" s="448"/>
      <c r="K18" s="448"/>
    </row>
    <row r="19" spans="2:11">
      <c r="B19" s="276" t="s">
        <v>349</v>
      </c>
      <c r="C19" s="17" t="s">
        <v>357</v>
      </c>
      <c r="D19" s="350">
        <v>0</v>
      </c>
      <c r="E19" s="350">
        <v>0</v>
      </c>
      <c r="F19" s="438">
        <v>0</v>
      </c>
      <c r="G19" s="350">
        <v>370.23821303121753</v>
      </c>
      <c r="H19" s="350">
        <v>16754.761786968782</v>
      </c>
      <c r="I19" s="438">
        <f t="shared" si="2"/>
        <v>2.1619749666056499E-2</v>
      </c>
      <c r="J19" s="448"/>
      <c r="K19" s="448"/>
    </row>
    <row r="20" spans="2:11">
      <c r="B20" s="276" t="s">
        <v>350</v>
      </c>
      <c r="C20" s="17" t="s">
        <v>357</v>
      </c>
      <c r="D20" s="350">
        <v>2</v>
      </c>
      <c r="E20" s="350">
        <v>202</v>
      </c>
      <c r="F20" s="438">
        <f t="shared" si="1"/>
        <v>9.8039215686274508E-3</v>
      </c>
      <c r="G20" s="350">
        <v>12</v>
      </c>
      <c r="H20" s="350">
        <v>1562</v>
      </c>
      <c r="I20" s="438">
        <f t="shared" si="2"/>
        <v>7.6238881829733167E-3</v>
      </c>
      <c r="J20" s="448"/>
      <c r="K20" s="448"/>
    </row>
    <row r="21" spans="2:11">
      <c r="B21" s="9" t="s">
        <v>57</v>
      </c>
      <c r="C21" s="17" t="s">
        <v>357</v>
      </c>
      <c r="D21" s="350">
        <v>0</v>
      </c>
      <c r="E21" s="350">
        <v>3</v>
      </c>
      <c r="F21" s="438">
        <f t="shared" si="1"/>
        <v>0</v>
      </c>
      <c r="G21" s="350">
        <v>0</v>
      </c>
      <c r="H21" s="350">
        <v>4</v>
      </c>
      <c r="I21" s="438">
        <f t="shared" si="2"/>
        <v>0</v>
      </c>
      <c r="J21" s="448"/>
      <c r="K21" s="448"/>
    </row>
    <row r="22" spans="2:11">
      <c r="B22" s="276" t="s">
        <v>117</v>
      </c>
      <c r="C22" s="131" t="s">
        <v>358</v>
      </c>
      <c r="D22" s="350">
        <v>3.1111111111111081</v>
      </c>
      <c r="E22" s="350">
        <v>10.888888888888893</v>
      </c>
      <c r="F22" s="438">
        <f t="shared" si="1"/>
        <v>0.22222222222222202</v>
      </c>
      <c r="G22" s="350">
        <v>6.2222222222222081</v>
      </c>
      <c r="H22" s="350">
        <v>25.777777777777793</v>
      </c>
      <c r="I22" s="438">
        <f t="shared" si="2"/>
        <v>0.194444444444444</v>
      </c>
      <c r="J22" s="448"/>
      <c r="K22" s="448"/>
    </row>
    <row r="23" spans="2:11">
      <c r="B23" s="275" t="s">
        <v>224</v>
      </c>
      <c r="C23" s="17"/>
      <c r="D23" s="442">
        <f>SUM(D19:D22)</f>
        <v>5.1111111111111081</v>
      </c>
      <c r="E23" s="442">
        <f>SUM(E19:E22)</f>
        <v>215.88888888888889</v>
      </c>
      <c r="F23" s="443">
        <f t="shared" si="1"/>
        <v>2.312719959778782E-2</v>
      </c>
      <c r="G23" s="442">
        <f>SUM(G19:G22)</f>
        <v>388.46043525343975</v>
      </c>
      <c r="H23" s="442">
        <f>SUM(H19:H22)</f>
        <v>18346.539564746559</v>
      </c>
      <c r="I23" s="443">
        <f t="shared" si="2"/>
        <v>2.0734477462153175E-2</v>
      </c>
      <c r="J23" s="448"/>
      <c r="K23" s="448"/>
    </row>
    <row r="24" spans="2:11">
      <c r="B24" s="275" t="s">
        <v>225</v>
      </c>
      <c r="C24" s="17"/>
      <c r="D24" s="442">
        <f>D23+D18</f>
        <v>777.26976963972868</v>
      </c>
      <c r="E24" s="442">
        <f>E23+E18</f>
        <v>38830.730230360277</v>
      </c>
      <c r="F24" s="443">
        <f t="shared" si="1"/>
        <v>1.962406002928016E-2</v>
      </c>
      <c r="G24" s="442">
        <f>G23+G18</f>
        <v>1344.1856748157747</v>
      </c>
      <c r="H24" s="442">
        <f>H23+H18</f>
        <v>81414.814325184227</v>
      </c>
      <c r="I24" s="443">
        <f t="shared" si="2"/>
        <v>1.6242169127415444E-2</v>
      </c>
      <c r="J24" s="448"/>
      <c r="K24" s="448"/>
    </row>
    <row r="25" spans="2:11">
      <c r="B25" s="531" t="s">
        <v>196</v>
      </c>
      <c r="C25" s="531"/>
      <c r="D25" s="531"/>
      <c r="E25" s="531"/>
      <c r="F25" s="531"/>
      <c r="G25" s="531"/>
      <c r="H25" s="531"/>
      <c r="I25" s="531"/>
    </row>
    <row r="26" spans="2:11">
      <c r="B26" s="131" t="s">
        <v>221</v>
      </c>
      <c r="C26" s="131" t="s">
        <v>356</v>
      </c>
      <c r="D26" s="444">
        <v>29.359620046504727</v>
      </c>
      <c r="E26" s="445">
        <v>1328.6403799534953</v>
      </c>
      <c r="F26" s="438">
        <f>D26/(D26+E26)</f>
        <v>2.1619749666056499E-2</v>
      </c>
      <c r="G26" s="361">
        <v>29.359620046504727</v>
      </c>
      <c r="H26" s="444">
        <v>1328.6403799534953</v>
      </c>
      <c r="I26" s="438">
        <f>G26/(G26+H26)</f>
        <v>2.1619749666056499E-2</v>
      </c>
      <c r="J26" s="448"/>
      <c r="K26" s="448"/>
    </row>
    <row r="27" spans="2:11">
      <c r="B27" s="131" t="s">
        <v>219</v>
      </c>
      <c r="C27" s="131" t="s">
        <v>356</v>
      </c>
      <c r="D27" s="444">
        <v>86.034860325889866</v>
      </c>
      <c r="E27" s="445">
        <v>83236.96513967411</v>
      </c>
      <c r="F27" s="438">
        <f t="shared" ref="F27:F39" si="3">D27/(D27+E27)</f>
        <v>1.0325463596592762E-3</v>
      </c>
      <c r="G27" s="361">
        <v>3946.6966305576407</v>
      </c>
      <c r="H27" s="444">
        <v>602875.30336944235</v>
      </c>
      <c r="I27" s="438">
        <f t="shared" ref="I27:I39" si="4">G27/(G27+H27)</f>
        <v>6.5038786177126747E-3</v>
      </c>
      <c r="J27" s="448"/>
      <c r="K27" s="448"/>
    </row>
    <row r="28" spans="2:11" ht="29">
      <c r="B28" s="131" t="s">
        <v>347</v>
      </c>
      <c r="C28" s="131" t="s">
        <v>356</v>
      </c>
      <c r="D28" s="444">
        <v>0</v>
      </c>
      <c r="E28" s="445">
        <v>19681</v>
      </c>
      <c r="F28" s="438">
        <f t="shared" si="3"/>
        <v>0</v>
      </c>
      <c r="G28" s="361">
        <v>0</v>
      </c>
      <c r="H28" s="444">
        <v>112966</v>
      </c>
      <c r="I28" s="438">
        <f t="shared" si="4"/>
        <v>0</v>
      </c>
      <c r="J28" s="448"/>
      <c r="K28" s="448"/>
    </row>
    <row r="29" spans="2:11">
      <c r="B29" s="131" t="s">
        <v>220</v>
      </c>
      <c r="C29" s="131" t="s">
        <v>356</v>
      </c>
      <c r="D29" s="444">
        <v>0</v>
      </c>
      <c r="E29" s="445">
        <v>0</v>
      </c>
      <c r="F29" s="438">
        <v>0</v>
      </c>
      <c r="G29" s="361">
        <v>0</v>
      </c>
      <c r="H29" s="444">
        <v>61492</v>
      </c>
      <c r="I29" s="438">
        <f t="shared" si="4"/>
        <v>0</v>
      </c>
      <c r="J29" s="448"/>
      <c r="K29" s="448"/>
    </row>
    <row r="30" spans="2:11">
      <c r="B30" s="131" t="s">
        <v>222</v>
      </c>
      <c r="C30" s="131" t="s">
        <v>356</v>
      </c>
      <c r="D30" s="444">
        <v>0</v>
      </c>
      <c r="E30" s="445">
        <v>185121</v>
      </c>
      <c r="F30" s="438">
        <f t="shared" si="3"/>
        <v>0</v>
      </c>
      <c r="G30" s="361">
        <v>0</v>
      </c>
      <c r="H30" s="444">
        <v>1007222</v>
      </c>
      <c r="I30" s="438">
        <f t="shared" si="4"/>
        <v>0</v>
      </c>
      <c r="J30" s="448"/>
      <c r="K30" s="448"/>
    </row>
    <row r="31" spans="2:11" ht="29">
      <c r="B31" s="131" t="s">
        <v>348</v>
      </c>
      <c r="C31" s="131" t="s">
        <v>356</v>
      </c>
      <c r="D31" s="444">
        <v>0</v>
      </c>
      <c r="E31" s="445">
        <v>166090</v>
      </c>
      <c r="F31" s="438">
        <f t="shared" si="3"/>
        <v>0</v>
      </c>
      <c r="G31" s="361">
        <v>0</v>
      </c>
      <c r="H31" s="444">
        <v>2425562</v>
      </c>
      <c r="I31" s="438">
        <f t="shared" si="4"/>
        <v>0</v>
      </c>
      <c r="J31" s="448"/>
      <c r="K31" s="448"/>
    </row>
    <row r="32" spans="2:11">
      <c r="B32" s="270" t="s">
        <v>53</v>
      </c>
      <c r="C32" s="17" t="s">
        <v>356</v>
      </c>
      <c r="D32" s="444">
        <v>0</v>
      </c>
      <c r="E32" s="445">
        <v>11250</v>
      </c>
      <c r="F32" s="438">
        <f t="shared" si="3"/>
        <v>0</v>
      </c>
      <c r="G32" s="361">
        <v>0</v>
      </c>
      <c r="H32" s="444">
        <v>52492.42</v>
      </c>
      <c r="I32" s="438">
        <f t="shared" si="4"/>
        <v>0</v>
      </c>
      <c r="J32" s="448"/>
      <c r="K32" s="448"/>
    </row>
    <row r="33" spans="2:11">
      <c r="B33" s="275" t="s">
        <v>226</v>
      </c>
      <c r="C33" s="17"/>
      <c r="D33" s="446">
        <f>SUM(D26:D32)</f>
        <v>115.3944803723946</v>
      </c>
      <c r="E33" s="446">
        <f>SUM(E26:E32)</f>
        <v>466707.60551962757</v>
      </c>
      <c r="F33" s="443">
        <f>D33/(D33+E33)</f>
        <v>2.4719107750131121E-4</v>
      </c>
      <c r="G33" s="446">
        <f>SUM(G26:G32)</f>
        <v>3976.0562506041456</v>
      </c>
      <c r="H33" s="446">
        <f>SUM(H26:H32)</f>
        <v>4263938.3637493961</v>
      </c>
      <c r="I33" s="443">
        <f>G33/(G33+H33)</f>
        <v>9.3161573999043438E-4</v>
      </c>
      <c r="J33" s="448"/>
      <c r="K33" s="448"/>
    </row>
    <row r="34" spans="2:11">
      <c r="B34" s="276" t="s">
        <v>349</v>
      </c>
      <c r="C34" s="17" t="s">
        <v>357</v>
      </c>
      <c r="D34" s="444">
        <v>121.61109187156781</v>
      </c>
      <c r="E34" s="445">
        <v>5503.3889081284324</v>
      </c>
      <c r="F34" s="438">
        <f t="shared" si="3"/>
        <v>2.1619749666056499E-2</v>
      </c>
      <c r="G34" s="361">
        <v>1589.5704744471379</v>
      </c>
      <c r="H34" s="444">
        <v>71934.429525552856</v>
      </c>
      <c r="I34" s="438">
        <f t="shared" si="4"/>
        <v>2.1619749666056499E-2</v>
      </c>
      <c r="J34" s="448"/>
      <c r="K34" s="448"/>
    </row>
    <row r="35" spans="2:11">
      <c r="B35" s="276" t="s">
        <v>350</v>
      </c>
      <c r="C35" s="17" t="s">
        <v>357</v>
      </c>
      <c r="D35" s="444">
        <v>811.02887859500004</v>
      </c>
      <c r="E35" s="445">
        <v>83535.971121405004</v>
      </c>
      <c r="F35" s="438">
        <f t="shared" si="3"/>
        <v>9.6153850000000006E-3</v>
      </c>
      <c r="G35" s="361">
        <v>2259.8743183771999</v>
      </c>
      <c r="H35" s="444">
        <v>288478.12568162283</v>
      </c>
      <c r="I35" s="438">
        <f t="shared" si="4"/>
        <v>7.7728894E-3</v>
      </c>
      <c r="J35" s="448"/>
      <c r="K35" s="448"/>
    </row>
    <row r="36" spans="2:11">
      <c r="B36" s="9" t="s">
        <v>57</v>
      </c>
      <c r="C36" s="17" t="s">
        <v>357</v>
      </c>
      <c r="D36" s="361">
        <v>0</v>
      </c>
      <c r="E36" s="361">
        <v>43939</v>
      </c>
      <c r="F36" s="438">
        <f t="shared" si="3"/>
        <v>0</v>
      </c>
      <c r="G36" s="361">
        <v>0</v>
      </c>
      <c r="H36" s="361">
        <v>117683</v>
      </c>
      <c r="I36" s="438">
        <f t="shared" si="4"/>
        <v>0</v>
      </c>
      <c r="J36" s="448"/>
      <c r="K36" s="448"/>
    </row>
    <row r="37" spans="2:11">
      <c r="B37" s="276" t="s">
        <v>117</v>
      </c>
      <c r="C37" s="131" t="s">
        <v>358</v>
      </c>
      <c r="D37" s="361">
        <v>11414.092208062102</v>
      </c>
      <c r="E37" s="361">
        <v>36360.907791937898</v>
      </c>
      <c r="F37" s="438">
        <f t="shared" si="3"/>
        <v>0.238913494674246</v>
      </c>
      <c r="G37" s="361">
        <v>20603.509548645423</v>
      </c>
      <c r="H37" s="361">
        <v>106120.49045135458</v>
      </c>
      <c r="I37" s="438">
        <f t="shared" si="4"/>
        <v>0.162585694490747</v>
      </c>
      <c r="J37" s="448"/>
      <c r="K37" s="448"/>
    </row>
    <row r="38" spans="2:11">
      <c r="B38" s="275" t="s">
        <v>227</v>
      </c>
      <c r="C38" s="17"/>
      <c r="D38" s="446">
        <f>SUM(D34:D37)</f>
        <v>12346.732178528669</v>
      </c>
      <c r="E38" s="446">
        <f>SUM(E34:E37)</f>
        <v>169339.26782147135</v>
      </c>
      <c r="F38" s="443">
        <f t="shared" si="3"/>
        <v>6.7956431307468201E-2</v>
      </c>
      <c r="G38" s="446">
        <f>SUM(G34:G37)</f>
        <v>24452.954341469762</v>
      </c>
      <c r="H38" s="446">
        <f>SUM(H34:H37)</f>
        <v>584216.0456585302</v>
      </c>
      <c r="I38" s="443">
        <f t="shared" si="4"/>
        <v>4.0174469771698182E-2</v>
      </c>
      <c r="J38" s="448"/>
      <c r="K38" s="448"/>
    </row>
    <row r="39" spans="2:11">
      <c r="B39" s="275" t="s">
        <v>228</v>
      </c>
      <c r="C39" s="17"/>
      <c r="D39" s="446">
        <f>D38+D33</f>
        <v>12462.126658901065</v>
      </c>
      <c r="E39" s="446">
        <f>E38+E33</f>
        <v>636046.87334109889</v>
      </c>
      <c r="F39" s="443">
        <f t="shared" si="3"/>
        <v>1.9216582435866061E-2</v>
      </c>
      <c r="G39" s="446">
        <f>G38+G33</f>
        <v>28429.010592073908</v>
      </c>
      <c r="H39" s="446">
        <f>H38+H33</f>
        <v>4848154.4094079267</v>
      </c>
      <c r="I39" s="443">
        <f t="shared" si="4"/>
        <v>5.8296984063637538E-3</v>
      </c>
      <c r="J39" s="448"/>
      <c r="K39" s="448"/>
    </row>
    <row r="40" spans="2:11">
      <c r="B40" s="531" t="s">
        <v>109</v>
      </c>
      <c r="C40" s="531"/>
      <c r="D40" s="531"/>
      <c r="E40" s="531"/>
      <c r="F40" s="531"/>
      <c r="G40" s="531"/>
      <c r="H40" s="531"/>
      <c r="I40" s="531"/>
    </row>
    <row r="41" spans="2:11">
      <c r="B41" s="131" t="s">
        <v>221</v>
      </c>
      <c r="C41" s="131" t="s">
        <v>356</v>
      </c>
      <c r="D41" s="440">
        <v>18.701083461138872</v>
      </c>
      <c r="E41" s="441">
        <v>846.29891653886114</v>
      </c>
      <c r="F41" s="438">
        <f>D41/(D41+E41)</f>
        <v>2.1619749666056499E-2</v>
      </c>
      <c r="G41" s="350">
        <v>51.455004205214465</v>
      </c>
      <c r="H41" s="440">
        <v>2328.5449957947853</v>
      </c>
      <c r="I41" s="438">
        <f>G41/(G41+H41)</f>
        <v>2.1619749666056499E-2</v>
      </c>
      <c r="J41" s="448"/>
      <c r="K41" s="448"/>
    </row>
    <row r="42" spans="2:11">
      <c r="B42" s="131" t="s">
        <v>219</v>
      </c>
      <c r="C42" s="131" t="s">
        <v>356</v>
      </c>
      <c r="D42" s="440">
        <v>0.97911415608817209</v>
      </c>
      <c r="E42" s="441">
        <v>699.52088584391186</v>
      </c>
      <c r="F42" s="438">
        <f t="shared" ref="F42:F54" si="5">D42/(D42+E42)</f>
        <v>1.3977361257504241E-3</v>
      </c>
      <c r="G42" s="350">
        <v>23.516899599046472</v>
      </c>
      <c r="H42" s="440">
        <v>3850.0831004009533</v>
      </c>
      <c r="I42" s="438">
        <f t="shared" ref="I42:I54" si="6">G42/(G42+H42)</f>
        <v>6.0710707349872139E-3</v>
      </c>
      <c r="J42" s="448"/>
      <c r="K42" s="448"/>
    </row>
    <row r="43" spans="2:11" ht="29">
      <c r="B43" s="131" t="s">
        <v>347</v>
      </c>
      <c r="C43" s="131" t="s">
        <v>356</v>
      </c>
      <c r="D43" s="440">
        <v>0</v>
      </c>
      <c r="E43" s="441">
        <v>0</v>
      </c>
      <c r="F43" s="438">
        <v>0</v>
      </c>
      <c r="G43" s="350">
        <v>0</v>
      </c>
      <c r="H43" s="440">
        <v>0</v>
      </c>
      <c r="I43" s="438">
        <v>0</v>
      </c>
      <c r="J43" s="448"/>
      <c r="K43" s="448"/>
    </row>
    <row r="44" spans="2:11">
      <c r="B44" s="131" t="s">
        <v>220</v>
      </c>
      <c r="C44" s="131" t="s">
        <v>356</v>
      </c>
      <c r="D44" s="440">
        <v>0</v>
      </c>
      <c r="E44" s="441">
        <v>0</v>
      </c>
      <c r="F44" s="438">
        <v>0</v>
      </c>
      <c r="G44" s="350">
        <v>0</v>
      </c>
      <c r="H44" s="440">
        <v>575.69399999999996</v>
      </c>
      <c r="I44" s="438">
        <v>0</v>
      </c>
      <c r="J44" s="448"/>
      <c r="K44" s="448"/>
    </row>
    <row r="45" spans="2:11">
      <c r="B45" s="131" t="s">
        <v>222</v>
      </c>
      <c r="C45" s="131" t="s">
        <v>356</v>
      </c>
      <c r="D45" s="440">
        <v>0</v>
      </c>
      <c r="E45" s="441">
        <v>228.93199999999999</v>
      </c>
      <c r="F45" s="438">
        <f t="shared" si="5"/>
        <v>0</v>
      </c>
      <c r="G45" s="350">
        <v>0</v>
      </c>
      <c r="H45" s="440">
        <v>1209.3720000000001</v>
      </c>
      <c r="I45" s="438">
        <f t="shared" si="6"/>
        <v>0</v>
      </c>
      <c r="J45" s="448"/>
      <c r="K45" s="448"/>
    </row>
    <row r="46" spans="2:11" ht="29">
      <c r="B46" s="131" t="s">
        <v>348</v>
      </c>
      <c r="C46" s="131" t="s">
        <v>356</v>
      </c>
      <c r="D46" s="440">
        <v>0</v>
      </c>
      <c r="E46" s="441">
        <v>665.2</v>
      </c>
      <c r="F46" s="438">
        <f t="shared" si="5"/>
        <v>0</v>
      </c>
      <c r="G46" s="350">
        <v>0</v>
      </c>
      <c r="H46" s="440">
        <v>7471.1</v>
      </c>
      <c r="I46" s="438">
        <f t="shared" si="6"/>
        <v>0</v>
      </c>
      <c r="J46" s="448"/>
      <c r="K46" s="448"/>
    </row>
    <row r="47" spans="2:11">
      <c r="B47" s="270" t="s">
        <v>53</v>
      </c>
      <c r="C47" s="17" t="s">
        <v>356</v>
      </c>
      <c r="D47" s="440">
        <v>0</v>
      </c>
      <c r="E47" s="441">
        <v>0</v>
      </c>
      <c r="F47" s="438">
        <v>0</v>
      </c>
      <c r="G47" s="350">
        <v>0</v>
      </c>
      <c r="H47" s="440">
        <v>0</v>
      </c>
      <c r="I47" s="438">
        <v>0</v>
      </c>
      <c r="J47" s="448"/>
      <c r="K47" s="448"/>
    </row>
    <row r="48" spans="2:11">
      <c r="B48" s="275" t="s">
        <v>229</v>
      </c>
      <c r="C48" s="17"/>
      <c r="D48" s="442">
        <f>SUM(D41:D47)</f>
        <v>19.680197617227044</v>
      </c>
      <c r="E48" s="442">
        <f>SUM(E41:E47)</f>
        <v>2439.9518023827732</v>
      </c>
      <c r="F48" s="443">
        <f>D48/(D48+E48)</f>
        <v>8.0012772712450657E-3</v>
      </c>
      <c r="G48" s="442">
        <f>SUM(G41:G47)</f>
        <v>74.971903804260933</v>
      </c>
      <c r="H48" s="442">
        <f>SUM(H41:H47)</f>
        <v>15434.794096195739</v>
      </c>
      <c r="I48" s="443">
        <f>G48/(G48+H48)</f>
        <v>4.8338513813980773E-3</v>
      </c>
      <c r="J48" s="448"/>
      <c r="K48" s="448"/>
    </row>
    <row r="49" spans="2:11">
      <c r="B49" s="276" t="s">
        <v>349</v>
      </c>
      <c r="C49" s="17" t="s">
        <v>357</v>
      </c>
      <c r="D49" s="350">
        <v>0</v>
      </c>
      <c r="E49" s="350">
        <v>0</v>
      </c>
      <c r="F49" s="438">
        <v>0</v>
      </c>
      <c r="G49" s="350">
        <v>0</v>
      </c>
      <c r="H49" s="350">
        <v>0</v>
      </c>
      <c r="I49" s="438">
        <v>0</v>
      </c>
      <c r="J49" s="448"/>
      <c r="K49" s="448"/>
    </row>
    <row r="50" spans="2:11">
      <c r="B50" s="276" t="s">
        <v>350</v>
      </c>
      <c r="C50" s="17" t="s">
        <v>357</v>
      </c>
      <c r="D50" s="350">
        <v>0</v>
      </c>
      <c r="E50" s="350">
        <v>0</v>
      </c>
      <c r="F50" s="438">
        <v>0</v>
      </c>
      <c r="G50" s="350">
        <v>0</v>
      </c>
      <c r="H50" s="350">
        <v>0</v>
      </c>
      <c r="I50" s="438">
        <v>0</v>
      </c>
      <c r="J50" s="448"/>
      <c r="K50" s="448"/>
    </row>
    <row r="51" spans="2:11">
      <c r="B51" s="9" t="s">
        <v>57</v>
      </c>
      <c r="C51" s="17" t="s">
        <v>357</v>
      </c>
      <c r="D51" s="350">
        <v>0</v>
      </c>
      <c r="E51" s="350">
        <v>36.700000000000003</v>
      </c>
      <c r="F51" s="438">
        <f t="shared" si="5"/>
        <v>0</v>
      </c>
      <c r="G51" s="350">
        <v>0</v>
      </c>
      <c r="H51" s="350">
        <v>43.9</v>
      </c>
      <c r="I51" s="438">
        <f t="shared" si="6"/>
        <v>0</v>
      </c>
      <c r="J51" s="448"/>
      <c r="K51" s="448"/>
    </row>
    <row r="52" spans="2:11">
      <c r="B52" s="276" t="s">
        <v>117</v>
      </c>
      <c r="C52" s="131" t="s">
        <v>358</v>
      </c>
      <c r="D52" s="350">
        <v>5.2131361314679081</v>
      </c>
      <c r="E52" s="350">
        <v>11.866863868532089</v>
      </c>
      <c r="F52" s="438">
        <f t="shared" si="5"/>
        <v>0.30521874306018199</v>
      </c>
      <c r="G52" s="350">
        <v>8.5073882708715729</v>
      </c>
      <c r="H52" s="350">
        <v>32.352611729128427</v>
      </c>
      <c r="I52" s="438">
        <f t="shared" si="6"/>
        <v>0.20820822983043497</v>
      </c>
      <c r="J52" s="448"/>
      <c r="K52" s="448"/>
    </row>
    <row r="53" spans="2:11">
      <c r="B53" s="275" t="s">
        <v>230</v>
      </c>
      <c r="C53" s="17"/>
      <c r="D53" s="442">
        <f>SUM(D49:D52)</f>
        <v>5.2131361314679081</v>
      </c>
      <c r="E53" s="442">
        <f>SUM(E49:E52)</f>
        <v>48.566863868532096</v>
      </c>
      <c r="F53" s="443">
        <f t="shared" si="5"/>
        <v>9.6934476226625294E-2</v>
      </c>
      <c r="G53" s="442">
        <f>SUM(G49:G52)</f>
        <v>8.5073882708715729</v>
      </c>
      <c r="H53" s="442">
        <f>SUM(H49:H52)</f>
        <v>76.252611729128432</v>
      </c>
      <c r="I53" s="443">
        <f t="shared" si="6"/>
        <v>0.10037031938262828</v>
      </c>
      <c r="J53" s="448"/>
      <c r="K53" s="448"/>
    </row>
    <row r="54" spans="2:11">
      <c r="B54" s="275" t="s">
        <v>231</v>
      </c>
      <c r="C54" s="17"/>
      <c r="D54" s="442">
        <f>D53+D48</f>
        <v>24.893333748694953</v>
      </c>
      <c r="E54" s="442">
        <f>E53+E48</f>
        <v>2488.5186662513051</v>
      </c>
      <c r="F54" s="443">
        <f t="shared" si="5"/>
        <v>9.9041994502671871E-3</v>
      </c>
      <c r="G54" s="442">
        <f>G53+G48</f>
        <v>83.479292075132506</v>
      </c>
      <c r="H54" s="442">
        <f>H53+H48</f>
        <v>15511.046707924868</v>
      </c>
      <c r="I54" s="443">
        <f t="shared" si="6"/>
        <v>5.3531150658335169E-3</v>
      </c>
      <c r="J54" s="448"/>
      <c r="K54" s="448"/>
    </row>
  </sheetData>
  <mergeCells count="3">
    <mergeCell ref="B10:I10"/>
    <mergeCell ref="B25:I25"/>
    <mergeCell ref="B40:I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2"/>
  <sheetViews>
    <sheetView zoomScaleNormal="100" workbookViewId="0">
      <selection activeCell="B3" sqref="B3:N12"/>
    </sheetView>
  </sheetViews>
  <sheetFormatPr defaultRowHeight="14.5"/>
  <cols>
    <col min="1" max="1" width="4.81640625" customWidth="1"/>
    <col min="2" max="2" width="32.81640625" customWidth="1"/>
    <col min="3" max="14" width="9.54296875" customWidth="1"/>
  </cols>
  <sheetData>
    <row r="1" spans="1:14">
      <c r="A1" s="160"/>
      <c r="B1" s="160"/>
      <c r="C1" s="160"/>
    </row>
    <row r="2" spans="1:14" ht="15" thickBot="1">
      <c r="A2" s="160"/>
      <c r="B2" t="s">
        <v>232</v>
      </c>
    </row>
    <row r="3" spans="1:14">
      <c r="A3" s="160"/>
      <c r="B3" s="532"/>
      <c r="C3" s="534" t="s">
        <v>364</v>
      </c>
      <c r="D3" s="535"/>
      <c r="E3" s="535"/>
      <c r="F3" s="535"/>
      <c r="G3" s="535"/>
      <c r="H3" s="536"/>
      <c r="I3" s="534" t="s">
        <v>365</v>
      </c>
      <c r="J3" s="535"/>
      <c r="K3" s="535"/>
      <c r="L3" s="535"/>
      <c r="M3" s="535"/>
      <c r="N3" s="536"/>
    </row>
    <row r="4" spans="1:14">
      <c r="A4" s="160"/>
      <c r="B4" s="533"/>
      <c r="C4" s="493" t="s">
        <v>140</v>
      </c>
      <c r="D4" s="164" t="s">
        <v>141</v>
      </c>
      <c r="E4" s="164" t="s">
        <v>142</v>
      </c>
      <c r="F4" s="164" t="s">
        <v>143</v>
      </c>
      <c r="G4" s="164" t="s">
        <v>144</v>
      </c>
      <c r="H4" s="494" t="s">
        <v>145</v>
      </c>
      <c r="I4" s="493" t="s">
        <v>140</v>
      </c>
      <c r="J4" s="164" t="s">
        <v>141</v>
      </c>
      <c r="K4" s="164" t="s">
        <v>142</v>
      </c>
      <c r="L4" s="164" t="s">
        <v>143</v>
      </c>
      <c r="M4" s="164" t="s">
        <v>144</v>
      </c>
      <c r="N4" s="494" t="s">
        <v>145</v>
      </c>
    </row>
    <row r="5" spans="1:14">
      <c r="B5" s="475" t="s">
        <v>359</v>
      </c>
      <c r="C5" s="485">
        <v>4.05</v>
      </c>
      <c r="D5" s="486">
        <v>5.74</v>
      </c>
      <c r="E5" s="486">
        <v>2.15</v>
      </c>
      <c r="F5" s="476">
        <v>0.67</v>
      </c>
      <c r="G5" s="476">
        <v>2.14</v>
      </c>
      <c r="H5" s="477">
        <v>3.95</v>
      </c>
      <c r="I5" s="485">
        <v>5.8403210723135706</v>
      </c>
      <c r="J5" s="486">
        <v>6.4307504084407867</v>
      </c>
      <c r="K5" s="486">
        <v>0.63269101825147489</v>
      </c>
      <c r="L5" s="484">
        <v>0.54564988895091115</v>
      </c>
      <c r="M5" s="484">
        <v>3.1418528963287731</v>
      </c>
      <c r="N5" s="495">
        <v>5.7676788889704049</v>
      </c>
    </row>
    <row r="6" spans="1:14">
      <c r="B6" s="475" t="s">
        <v>360</v>
      </c>
      <c r="C6" s="485">
        <v>0.71</v>
      </c>
      <c r="D6" s="486">
        <v>0.17</v>
      </c>
      <c r="E6" s="486">
        <v>1.29</v>
      </c>
      <c r="F6" s="476">
        <v>0.61</v>
      </c>
      <c r="G6" s="476">
        <v>0.36</v>
      </c>
      <c r="H6" s="477">
        <v>0.7</v>
      </c>
      <c r="I6" s="485">
        <v>8.926020443798513E-2</v>
      </c>
      <c r="J6" s="486">
        <v>9.5600689433401831E-2</v>
      </c>
      <c r="K6" s="486">
        <v>0.3585110929716494</v>
      </c>
      <c r="L6" s="484">
        <v>0.34653647024396556</v>
      </c>
      <c r="M6" s="484">
        <v>4.3911563360916644E-2</v>
      </c>
      <c r="N6" s="495">
        <v>8.8039440669953575E-2</v>
      </c>
    </row>
    <row r="7" spans="1:14">
      <c r="B7" s="475" t="s">
        <v>53</v>
      </c>
      <c r="C7" s="485">
        <v>1.19</v>
      </c>
      <c r="D7" s="486">
        <v>1.82</v>
      </c>
      <c r="E7" s="486">
        <v>0.25</v>
      </c>
      <c r="F7" s="476">
        <v>0.19</v>
      </c>
      <c r="G7" s="476">
        <v>0.56999999999999995</v>
      </c>
      <c r="H7" s="477">
        <v>1.18</v>
      </c>
      <c r="I7" s="485">
        <v>0</v>
      </c>
      <c r="J7" s="486">
        <v>1</v>
      </c>
      <c r="K7" s="486">
        <v>0</v>
      </c>
      <c r="L7" s="484">
        <v>0</v>
      </c>
      <c r="M7" s="484">
        <v>0</v>
      </c>
      <c r="N7" s="495">
        <v>0</v>
      </c>
    </row>
    <row r="8" spans="1:14">
      <c r="B8" s="475" t="s">
        <v>361</v>
      </c>
      <c r="C8" s="485">
        <v>2.1</v>
      </c>
      <c r="D8" s="486">
        <v>2.4</v>
      </c>
      <c r="E8" s="486">
        <v>1.04</v>
      </c>
      <c r="F8" s="476">
        <v>0.44</v>
      </c>
      <c r="G8" s="476">
        <v>1.1100000000000001</v>
      </c>
      <c r="H8" s="477">
        <v>2.04</v>
      </c>
      <c r="I8" s="485">
        <v>1.7488957733077635</v>
      </c>
      <c r="J8" s="486">
        <v>1.7294048392685879</v>
      </c>
      <c r="K8" s="486">
        <v>0.79498217334550703</v>
      </c>
      <c r="L8" s="484">
        <v>0.67474033045501447</v>
      </c>
      <c r="M8" s="484">
        <v>1.1260300194319242</v>
      </c>
      <c r="N8" s="495">
        <v>1.7321278334020347</v>
      </c>
    </row>
    <row r="9" spans="1:14">
      <c r="B9" s="475" t="s">
        <v>362</v>
      </c>
      <c r="C9" s="485">
        <v>2.58</v>
      </c>
      <c r="D9" s="486">
        <v>2.98</v>
      </c>
      <c r="E9" s="486">
        <v>2.1800000000000002</v>
      </c>
      <c r="F9" s="476">
        <v>0.68</v>
      </c>
      <c r="G9" s="476">
        <v>1.51</v>
      </c>
      <c r="H9" s="477">
        <v>2.5</v>
      </c>
      <c r="I9" s="485">
        <v>4.2889952984080928</v>
      </c>
      <c r="J9" s="486">
        <v>3.9348639408914456</v>
      </c>
      <c r="K9" s="486">
        <v>0.94680507077012321</v>
      </c>
      <c r="L9" s="484">
        <v>0.707293479185646</v>
      </c>
      <c r="M9" s="484">
        <v>2.7026935721759542</v>
      </c>
      <c r="N9" s="495">
        <v>4.2462912711703478</v>
      </c>
    </row>
    <row r="10" spans="1:14">
      <c r="B10" s="478" t="s">
        <v>363</v>
      </c>
      <c r="C10" s="487">
        <v>1.58</v>
      </c>
      <c r="D10" s="488">
        <v>1.2</v>
      </c>
      <c r="E10" s="488">
        <v>1.56</v>
      </c>
      <c r="F10" s="479">
        <v>0.59</v>
      </c>
      <c r="G10" s="479">
        <v>0.84</v>
      </c>
      <c r="H10" s="480">
        <v>1.54</v>
      </c>
      <c r="I10" s="496">
        <v>1.9620522463978096</v>
      </c>
      <c r="J10" s="492">
        <v>1.878581874440912</v>
      </c>
      <c r="K10" s="492">
        <v>0.7768347168511488</v>
      </c>
      <c r="L10" s="492">
        <v>0.62839811324457451</v>
      </c>
      <c r="M10" s="492">
        <v>1.1665823598994496</v>
      </c>
      <c r="N10" s="497">
        <v>1.9406380518398041</v>
      </c>
    </row>
    <row r="11" spans="1:14">
      <c r="B11" s="475" t="s">
        <v>59</v>
      </c>
      <c r="C11" s="485">
        <v>2.0699999999999998</v>
      </c>
      <c r="D11" s="486">
        <v>1</v>
      </c>
      <c r="E11" s="486">
        <v>1.97</v>
      </c>
      <c r="F11" s="476">
        <v>1.97</v>
      </c>
      <c r="G11" s="476">
        <v>1.97</v>
      </c>
      <c r="H11" s="477">
        <v>2.0699999999999998</v>
      </c>
      <c r="I11" s="498">
        <v>3.3564100316236343</v>
      </c>
      <c r="J11" s="489" t="s">
        <v>366</v>
      </c>
      <c r="K11" s="489">
        <v>2.4247261950500181</v>
      </c>
      <c r="L11" s="489">
        <v>2.4247261950500181</v>
      </c>
      <c r="M11" s="489">
        <v>3.1965809824986993</v>
      </c>
      <c r="N11" s="499">
        <v>3.3564057506757274</v>
      </c>
    </row>
    <row r="12" spans="1:14" ht="15" thickBot="1">
      <c r="B12" s="481" t="s">
        <v>57</v>
      </c>
      <c r="C12" s="490">
        <v>1.17</v>
      </c>
      <c r="D12" s="491">
        <v>4.3499999999999996</v>
      </c>
      <c r="E12" s="491">
        <v>0.08</v>
      </c>
      <c r="F12" s="482">
        <v>0.08</v>
      </c>
      <c r="G12" s="482">
        <v>0.63</v>
      </c>
      <c r="H12" s="483">
        <v>1.17</v>
      </c>
      <c r="I12" s="500">
        <v>0.11513113197640355</v>
      </c>
      <c r="J12" s="501">
        <v>0.49893357775931524</v>
      </c>
      <c r="K12" s="501">
        <v>0.15293436262774204</v>
      </c>
      <c r="L12" s="501">
        <v>0.15503736285000963</v>
      </c>
      <c r="M12" s="501">
        <v>0.11628775407481147</v>
      </c>
      <c r="N12" s="502">
        <v>0.20692433646118363</v>
      </c>
    </row>
  </sheetData>
  <mergeCells count="3">
    <mergeCell ref="B3:B4"/>
    <mergeCell ref="C3:H3"/>
    <mergeCell ref="I3: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D30" sqref="D30"/>
    </sheetView>
  </sheetViews>
  <sheetFormatPr defaultRowHeight="14.5"/>
  <sheetData>
    <row r="2" spans="2:2">
      <c r="B2" s="169"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M37"/>
  <sheetViews>
    <sheetView topLeftCell="I4" zoomScaleNormal="100" zoomScaleSheetLayoutView="90" workbookViewId="0">
      <selection activeCell="P34" sqref="P34"/>
    </sheetView>
  </sheetViews>
  <sheetFormatPr defaultColWidth="9.453125" defaultRowHeight="14.5"/>
  <cols>
    <col min="1" max="1" width="4.453125" customWidth="1"/>
    <col min="2" max="2" width="34.81640625" customWidth="1"/>
    <col min="3" max="3" width="66" customWidth="1"/>
    <col min="4" max="13" width="13.54296875" customWidth="1"/>
    <col min="14" max="16" width="14.54296875" style="2" customWidth="1"/>
    <col min="17" max="17" width="14.54296875" style="3" customWidth="1"/>
    <col min="18" max="18" width="14.54296875" customWidth="1"/>
    <col min="19" max="19" width="15.1796875" customWidth="1"/>
    <col min="20" max="20" width="16.453125" style="4" customWidth="1"/>
    <col min="21" max="22" width="16.453125" customWidth="1"/>
    <col min="23" max="24" width="15.54296875" style="2" customWidth="1"/>
    <col min="25" max="25" width="13.54296875" customWidth="1"/>
    <col min="29" max="29" width="9.453125" customWidth="1"/>
  </cols>
  <sheetData>
    <row r="1" spans="1:24" ht="23.5">
      <c r="A1" s="1" t="s">
        <v>0</v>
      </c>
      <c r="T1" s="35"/>
      <c r="W1" s="34"/>
      <c r="X1" s="34"/>
    </row>
    <row r="2" spans="1:24">
      <c r="T2" s="35"/>
      <c r="W2" s="34"/>
      <c r="X2" s="34"/>
    </row>
    <row r="3" spans="1:24" ht="19" thickBot="1">
      <c r="A3" s="5"/>
      <c r="B3" s="5" t="s">
        <v>294</v>
      </c>
      <c r="C3" s="5"/>
      <c r="D3" s="5"/>
      <c r="E3" s="5"/>
      <c r="F3" s="5"/>
      <c r="G3" s="5"/>
      <c r="H3" s="5"/>
      <c r="I3" s="5"/>
      <c r="J3" s="5"/>
      <c r="K3" s="5"/>
      <c r="L3" s="5"/>
      <c r="M3" s="5"/>
      <c r="Q3" s="13"/>
      <c r="T3" s="44"/>
      <c r="W3" s="34"/>
      <c r="X3" s="34"/>
    </row>
    <row r="4" spans="1:24" ht="43.4" customHeight="1" thickBot="1">
      <c r="A4" t="s">
        <v>1</v>
      </c>
      <c r="B4" s="55"/>
      <c r="C4" s="29"/>
      <c r="D4" s="544" t="s">
        <v>4</v>
      </c>
      <c r="E4" s="544"/>
      <c r="F4" s="544"/>
      <c r="G4" s="545"/>
      <c r="H4" s="546" t="s">
        <v>3</v>
      </c>
      <c r="I4" s="547"/>
      <c r="J4" s="547"/>
      <c r="K4" s="547"/>
      <c r="L4" s="549" t="s">
        <v>29</v>
      </c>
      <c r="M4" s="549"/>
      <c r="N4" s="549"/>
      <c r="O4" s="549"/>
      <c r="P4" s="549"/>
      <c r="Q4" s="549"/>
      <c r="R4" s="549"/>
      <c r="S4" s="549"/>
      <c r="T4" s="35"/>
      <c r="V4" s="42" t="s">
        <v>4</v>
      </c>
      <c r="W4" s="42"/>
      <c r="X4" s="42"/>
    </row>
    <row r="5" spans="1:24" ht="21" customHeight="1">
      <c r="B5" s="55"/>
      <c r="C5" s="29"/>
      <c r="D5" s="292" t="s">
        <v>5</v>
      </c>
      <c r="E5" s="18" t="s">
        <v>6</v>
      </c>
      <c r="F5" s="18" t="s">
        <v>7</v>
      </c>
      <c r="G5" s="151" t="s">
        <v>30</v>
      </c>
      <c r="H5" s="25" t="s">
        <v>9</v>
      </c>
      <c r="I5" s="26" t="s">
        <v>10</v>
      </c>
      <c r="J5" s="26" t="s">
        <v>31</v>
      </c>
      <c r="K5" s="26" t="s">
        <v>32</v>
      </c>
      <c r="L5" s="22" t="s">
        <v>11</v>
      </c>
      <c r="M5" s="22" t="s">
        <v>33</v>
      </c>
      <c r="N5" s="6" t="s">
        <v>12</v>
      </c>
      <c r="O5" s="22" t="s">
        <v>34</v>
      </c>
      <c r="P5" s="22" t="s">
        <v>35</v>
      </c>
      <c r="Q5" s="18" t="s">
        <v>36</v>
      </c>
      <c r="R5" s="18" t="s">
        <v>37</v>
      </c>
      <c r="S5" s="7" t="s">
        <v>98</v>
      </c>
      <c r="T5" s="35"/>
      <c r="W5" s="34"/>
      <c r="X5" s="34"/>
    </row>
    <row r="6" spans="1:24" ht="52.5" customHeight="1" thickBot="1">
      <c r="B6" s="54"/>
      <c r="C6" s="30"/>
      <c r="D6" s="293" t="s">
        <v>90</v>
      </c>
      <c r="E6" s="71" t="s">
        <v>38</v>
      </c>
      <c r="F6" s="71" t="s">
        <v>91</v>
      </c>
      <c r="G6" s="294" t="s">
        <v>39</v>
      </c>
      <c r="H6" s="27" t="s">
        <v>92</v>
      </c>
      <c r="I6" s="28" t="s">
        <v>51</v>
      </c>
      <c r="J6" s="28" t="s">
        <v>93</v>
      </c>
      <c r="K6" s="28" t="s">
        <v>40</v>
      </c>
      <c r="L6" s="23" t="s">
        <v>94</v>
      </c>
      <c r="M6" s="23" t="s">
        <v>41</v>
      </c>
      <c r="N6" s="16" t="s">
        <v>95</v>
      </c>
      <c r="O6" s="24" t="s">
        <v>42</v>
      </c>
      <c r="P6" s="24" t="s">
        <v>295</v>
      </c>
      <c r="Q6" s="8" t="s">
        <v>96</v>
      </c>
      <c r="R6" s="71" t="s">
        <v>97</v>
      </c>
      <c r="S6" s="121" t="s">
        <v>99</v>
      </c>
      <c r="T6" s="35"/>
      <c r="W6" s="34"/>
      <c r="X6" s="34"/>
    </row>
    <row r="7" spans="1:24" ht="15" thickBot="1">
      <c r="B7" s="46" t="s">
        <v>14</v>
      </c>
      <c r="C7" s="46" t="s">
        <v>15</v>
      </c>
      <c r="D7" s="46"/>
      <c r="E7" s="33"/>
      <c r="F7" s="33"/>
      <c r="G7" s="295"/>
      <c r="H7" s="126"/>
      <c r="I7" s="33"/>
      <c r="J7" s="45"/>
      <c r="K7" s="47"/>
      <c r="L7" s="32"/>
      <c r="M7" s="33"/>
      <c r="N7" s="33"/>
      <c r="O7" s="33"/>
      <c r="P7" s="33"/>
      <c r="Q7" s="33"/>
      <c r="R7" s="123"/>
      <c r="S7" s="122"/>
      <c r="T7" s="38"/>
      <c r="U7" s="37"/>
      <c r="V7" s="37"/>
      <c r="W7" s="37"/>
      <c r="X7" s="37"/>
    </row>
    <row r="8" spans="1:24" s="56" customFormat="1">
      <c r="B8" s="550" t="s">
        <v>43</v>
      </c>
      <c r="C8" s="279" t="s">
        <v>301</v>
      </c>
      <c r="D8" s="298">
        <v>4231</v>
      </c>
      <c r="E8" s="299">
        <v>1911</v>
      </c>
      <c r="F8" s="299">
        <v>25205</v>
      </c>
      <c r="G8" s="300">
        <f>F8/E8</f>
        <v>13.189429618001046</v>
      </c>
      <c r="H8" s="301">
        <v>83.322999999999993</v>
      </c>
      <c r="I8" s="539">
        <v>1083.07</v>
      </c>
      <c r="J8" s="302">
        <v>606.82100000000003</v>
      </c>
      <c r="K8" s="542">
        <f>(J8+J9)/I8</f>
        <v>0.56153249559123608</v>
      </c>
      <c r="L8" s="298">
        <v>700.45299999999997</v>
      </c>
      <c r="M8" s="552">
        <v>4113</v>
      </c>
      <c r="N8" s="299">
        <v>3873.6129999999998</v>
      </c>
      <c r="O8" s="542">
        <f>(N8+N9)/M8</f>
        <v>1.5204505227327982</v>
      </c>
      <c r="P8" s="303">
        <f>N8*1.0345</f>
        <v>4007.2526484999999</v>
      </c>
      <c r="Q8" s="304">
        <v>0.32</v>
      </c>
      <c r="R8" s="299">
        <v>9799.3359999999993</v>
      </c>
      <c r="S8" s="305">
        <v>55687.360000000001</v>
      </c>
      <c r="T8" s="58"/>
      <c r="U8" s="265"/>
      <c r="V8" s="57"/>
      <c r="W8" s="57"/>
      <c r="X8" s="57"/>
    </row>
    <row r="9" spans="1:24" s="56" customFormat="1">
      <c r="B9" s="551"/>
      <c r="C9" s="280" t="s">
        <v>300</v>
      </c>
      <c r="D9" s="306">
        <v>35138</v>
      </c>
      <c r="E9" s="303" t="s">
        <v>312</v>
      </c>
      <c r="F9" s="303">
        <v>35138</v>
      </c>
      <c r="G9" s="307" t="s">
        <v>312</v>
      </c>
      <c r="H9" s="308">
        <v>1.3580000000000001</v>
      </c>
      <c r="I9" s="540"/>
      <c r="J9" s="309">
        <v>1.3580000000000001</v>
      </c>
      <c r="K9" s="543"/>
      <c r="L9" s="306">
        <v>865</v>
      </c>
      <c r="M9" s="553"/>
      <c r="N9" s="303">
        <v>2380</v>
      </c>
      <c r="O9" s="543"/>
      <c r="P9" s="303">
        <f>N9*1.0345</f>
        <v>2462.11</v>
      </c>
      <c r="Q9" s="310">
        <v>0</v>
      </c>
      <c r="R9" s="303">
        <v>865</v>
      </c>
      <c r="S9" s="311">
        <v>2380</v>
      </c>
      <c r="T9" s="58"/>
      <c r="U9" s="265"/>
      <c r="V9" s="57"/>
      <c r="W9" s="57"/>
      <c r="X9" s="57"/>
    </row>
    <row r="10" spans="1:24" ht="14.9" customHeight="1">
      <c r="B10" s="548" t="s">
        <v>61</v>
      </c>
      <c r="C10" s="277" t="s">
        <v>302</v>
      </c>
      <c r="D10" s="312">
        <v>0</v>
      </c>
      <c r="E10" s="72">
        <v>729</v>
      </c>
      <c r="F10" s="313">
        <v>0</v>
      </c>
      <c r="G10" s="314">
        <f>F10/E10</f>
        <v>0</v>
      </c>
      <c r="H10" s="315">
        <v>19.681000000000001</v>
      </c>
      <c r="I10" s="316">
        <v>544.78599999999994</v>
      </c>
      <c r="J10" s="317">
        <v>112.96599999999999</v>
      </c>
      <c r="K10" s="314">
        <f>J10/I10</f>
        <v>0.20735848571732754</v>
      </c>
      <c r="L10" s="318">
        <v>0</v>
      </c>
      <c r="M10" s="319">
        <v>726</v>
      </c>
      <c r="N10" s="313">
        <v>0</v>
      </c>
      <c r="O10" s="314">
        <f>N10/M10</f>
        <v>0</v>
      </c>
      <c r="P10" s="303">
        <f t="shared" ref="P10:P11" si="0">N10*1.0345</f>
        <v>0</v>
      </c>
      <c r="Q10" s="320">
        <v>0</v>
      </c>
      <c r="R10" s="313">
        <v>0</v>
      </c>
      <c r="S10" s="321">
        <v>0</v>
      </c>
      <c r="T10" s="43"/>
      <c r="U10" s="265"/>
      <c r="V10" s="34"/>
      <c r="W10" s="34"/>
      <c r="X10" s="34"/>
    </row>
    <row r="11" spans="1:24" ht="14.9" customHeight="1">
      <c r="B11" s="548"/>
      <c r="C11" s="277" t="s">
        <v>18</v>
      </c>
      <c r="D11" s="312">
        <v>0</v>
      </c>
      <c r="E11" s="72">
        <v>62</v>
      </c>
      <c r="F11" s="313">
        <v>3504</v>
      </c>
      <c r="G11" s="322">
        <f>F11/E11</f>
        <v>56.516129032258064</v>
      </c>
      <c r="H11" s="315">
        <v>0</v>
      </c>
      <c r="I11" s="316">
        <v>292.334</v>
      </c>
      <c r="J11" s="317">
        <v>61.491999999999997</v>
      </c>
      <c r="K11" s="314">
        <f>J11/I11</f>
        <v>0.21034843706171708</v>
      </c>
      <c r="L11" s="318">
        <v>0</v>
      </c>
      <c r="M11" s="319">
        <v>105</v>
      </c>
      <c r="N11" s="313">
        <v>575.69399999999996</v>
      </c>
      <c r="O11" s="314">
        <f>N11/M11</f>
        <v>5.4827999999999992</v>
      </c>
      <c r="P11" s="303">
        <f t="shared" si="0"/>
        <v>595.55544299999997</v>
      </c>
      <c r="Q11" s="320">
        <v>4.2999999999999997E-2</v>
      </c>
      <c r="R11" s="313">
        <v>0</v>
      </c>
      <c r="S11" s="321">
        <v>2302.777</v>
      </c>
      <c r="T11" s="43"/>
      <c r="U11" s="265"/>
      <c r="V11" s="34"/>
      <c r="W11" s="34"/>
      <c r="X11" s="34"/>
    </row>
    <row r="12" spans="1:24">
      <c r="B12" s="10" t="s">
        <v>19</v>
      </c>
      <c r="C12" s="125"/>
      <c r="D12" s="323">
        <f>SUM(D8:D11)</f>
        <v>39369</v>
      </c>
      <c r="E12" s="324">
        <f>SUM(E8:E11)</f>
        <v>2702</v>
      </c>
      <c r="F12" s="324">
        <f t="shared" ref="F12:S12" si="1">SUM(F8:F11)</f>
        <v>63847</v>
      </c>
      <c r="G12" s="325">
        <f>F12/E12</f>
        <v>23.629533678756477</v>
      </c>
      <c r="H12" s="326">
        <f t="shared" si="1"/>
        <v>104.36199999999999</v>
      </c>
      <c r="I12" s="327">
        <f t="shared" si="1"/>
        <v>1920.1899999999998</v>
      </c>
      <c r="J12" s="328">
        <f>SUM(J8:J11)</f>
        <v>782.63699999999994</v>
      </c>
      <c r="K12" s="325">
        <f>J12/I12</f>
        <v>0.40758310375535756</v>
      </c>
      <c r="L12" s="323">
        <f t="shared" si="1"/>
        <v>1565.453</v>
      </c>
      <c r="M12" s="324">
        <f t="shared" si="1"/>
        <v>4944</v>
      </c>
      <c r="N12" s="324">
        <f>SUM(N8:N11)</f>
        <v>6829.3069999999989</v>
      </c>
      <c r="O12" s="329">
        <f>N12/M12</f>
        <v>1.3813323220064722</v>
      </c>
      <c r="P12" s="324">
        <f t="shared" si="1"/>
        <v>7064.9180915000006</v>
      </c>
      <c r="Q12" s="330">
        <f t="shared" si="1"/>
        <v>0.36299999999999999</v>
      </c>
      <c r="R12" s="324">
        <f t="shared" si="1"/>
        <v>10664.335999999999</v>
      </c>
      <c r="S12" s="324">
        <f t="shared" si="1"/>
        <v>60370.137000000002</v>
      </c>
      <c r="T12" s="38"/>
      <c r="U12" s="266"/>
      <c r="V12" s="37"/>
      <c r="W12" s="37"/>
      <c r="X12" s="37"/>
    </row>
    <row r="13" spans="1:24">
      <c r="B13" s="69"/>
      <c r="C13" s="124"/>
      <c r="D13" s="331"/>
      <c r="E13" s="332"/>
      <c r="F13" s="332"/>
      <c r="G13" s="333"/>
      <c r="H13" s="334"/>
      <c r="I13" s="335"/>
      <c r="J13" s="335"/>
      <c r="K13" s="333"/>
      <c r="L13" s="331"/>
      <c r="M13" s="332"/>
      <c r="N13" s="332"/>
      <c r="O13" s="332"/>
      <c r="P13" s="336"/>
      <c r="Q13" s="332"/>
      <c r="R13" s="332"/>
      <c r="S13" s="337"/>
      <c r="T13" s="40"/>
      <c r="U13" s="267"/>
      <c r="V13" s="40"/>
      <c r="W13" s="40"/>
      <c r="X13" s="40"/>
    </row>
    <row r="14" spans="1:24">
      <c r="B14" s="10" t="s">
        <v>20</v>
      </c>
      <c r="C14" s="125" t="s">
        <v>44</v>
      </c>
      <c r="D14" s="338"/>
      <c r="E14" s="339"/>
      <c r="F14" s="339"/>
      <c r="G14" s="340"/>
      <c r="H14" s="341"/>
      <c r="I14" s="328"/>
      <c r="J14" s="328"/>
      <c r="K14" s="340"/>
      <c r="L14" s="338"/>
      <c r="M14" s="339"/>
      <c r="N14" s="342"/>
      <c r="O14" s="342"/>
      <c r="P14" s="343"/>
      <c r="Q14" s="342"/>
      <c r="R14" s="342"/>
      <c r="S14" s="344"/>
      <c r="T14" s="38"/>
      <c r="U14" s="266"/>
      <c r="V14" s="37"/>
      <c r="W14" s="37"/>
      <c r="X14" s="37"/>
    </row>
    <row r="15" spans="1:24">
      <c r="B15" s="97" t="s">
        <v>62</v>
      </c>
      <c r="C15" s="277" t="s">
        <v>48</v>
      </c>
      <c r="D15" s="345">
        <v>9</v>
      </c>
      <c r="E15" s="346">
        <v>103</v>
      </c>
      <c r="F15" s="346">
        <v>52</v>
      </c>
      <c r="G15" s="314">
        <f>F15/E15</f>
        <v>0.50485436893203883</v>
      </c>
      <c r="H15" s="315">
        <v>185.12100000000001</v>
      </c>
      <c r="I15" s="316">
        <v>1369.317</v>
      </c>
      <c r="J15" s="347">
        <v>1007.222</v>
      </c>
      <c r="K15" s="314">
        <f>J15/I15</f>
        <v>0.73556524895258002</v>
      </c>
      <c r="L15" s="348">
        <v>228.93199999999999</v>
      </c>
      <c r="M15" s="319">
        <v>2304</v>
      </c>
      <c r="N15" s="313">
        <v>1209.3720000000001</v>
      </c>
      <c r="O15" s="314">
        <f>N15/M15</f>
        <v>0.52490104166666673</v>
      </c>
      <c r="P15" s="303">
        <f>N15*1.0345</f>
        <v>1251.0953340000001</v>
      </c>
      <c r="Q15" s="349">
        <v>0.28100000000000003</v>
      </c>
      <c r="R15" s="313">
        <v>3336.8240000000001</v>
      </c>
      <c r="S15" s="321">
        <v>17918.274000000001</v>
      </c>
      <c r="T15" s="35"/>
      <c r="U15" s="265"/>
      <c r="V15" s="36"/>
      <c r="W15" s="34"/>
      <c r="X15" s="34"/>
    </row>
    <row r="16" spans="1:24" ht="29">
      <c r="B16" s="97" t="s">
        <v>63</v>
      </c>
      <c r="C16" s="277" t="s">
        <v>303</v>
      </c>
      <c r="D16" s="345">
        <v>9</v>
      </c>
      <c r="E16" s="346">
        <v>214</v>
      </c>
      <c r="F16" s="346">
        <v>125</v>
      </c>
      <c r="G16" s="322">
        <f>F16/E16</f>
        <v>0.58411214953271029</v>
      </c>
      <c r="H16" s="315">
        <v>166.09</v>
      </c>
      <c r="I16" s="316">
        <v>1212.9269999999999</v>
      </c>
      <c r="J16" s="347">
        <v>2425.5630000000001</v>
      </c>
      <c r="K16" s="314">
        <f>J16/I16</f>
        <v>1.9997600844898336</v>
      </c>
      <c r="L16" s="348">
        <v>665.2</v>
      </c>
      <c r="M16" s="350">
        <v>4033</v>
      </c>
      <c r="N16" s="313">
        <v>7471.0910000000003</v>
      </c>
      <c r="O16" s="314">
        <f>N16/M16</f>
        <v>1.8524897098933797</v>
      </c>
      <c r="P16" s="303">
        <f>N16*1.0345</f>
        <v>7728.8436394999999</v>
      </c>
      <c r="Q16" s="349">
        <v>1.696</v>
      </c>
      <c r="R16" s="313">
        <v>9978</v>
      </c>
      <c r="S16" s="321">
        <v>96297.664999999994</v>
      </c>
      <c r="T16" s="43"/>
      <c r="U16" s="265"/>
      <c r="V16" s="36"/>
      <c r="W16" s="34"/>
      <c r="X16" s="34"/>
    </row>
    <row r="17" spans="2:39" s="13" customFormat="1">
      <c r="B17" s="10" t="s">
        <v>25</v>
      </c>
      <c r="C17" s="125"/>
      <c r="D17" s="338">
        <f>SUM(D15:D16)</f>
        <v>18</v>
      </c>
      <c r="E17" s="339">
        <f t="shared" ref="E17:Q17" si="2">SUM(E15:E16)</f>
        <v>317</v>
      </c>
      <c r="F17" s="339">
        <f t="shared" si="2"/>
        <v>177</v>
      </c>
      <c r="G17" s="325">
        <f>F17/E17</f>
        <v>0.55835962145110407</v>
      </c>
      <c r="H17" s="326">
        <f t="shared" si="2"/>
        <v>351.21100000000001</v>
      </c>
      <c r="I17" s="327">
        <f t="shared" si="2"/>
        <v>2582.2439999999997</v>
      </c>
      <c r="J17" s="328">
        <f>SUM(J15:J16)</f>
        <v>3432.7849999999999</v>
      </c>
      <c r="K17" s="325">
        <f>J17/I17</f>
        <v>1.3293805697680003</v>
      </c>
      <c r="L17" s="351">
        <f t="shared" si="2"/>
        <v>894.13200000000006</v>
      </c>
      <c r="M17" s="324">
        <f t="shared" si="2"/>
        <v>6337</v>
      </c>
      <c r="N17" s="324">
        <f>SUM(N15:N16)</f>
        <v>8680.4629999999997</v>
      </c>
      <c r="O17" s="329">
        <f>N17/M17</f>
        <v>1.3698063752564305</v>
      </c>
      <c r="P17" s="324">
        <f t="shared" si="2"/>
        <v>8979.9389735000004</v>
      </c>
      <c r="Q17" s="352">
        <f t="shared" si="2"/>
        <v>1.9769999999999999</v>
      </c>
      <c r="R17" s="324">
        <f>SUM(R15:R16)</f>
        <v>13314.824000000001</v>
      </c>
      <c r="S17" s="324">
        <f>SUM(S15:S16)</f>
        <v>114215.939</v>
      </c>
      <c r="T17" s="38"/>
      <c r="U17" s="266"/>
      <c r="V17" s="37"/>
      <c r="W17" s="37"/>
      <c r="X17" s="37"/>
      <c r="Y17"/>
      <c r="Z17"/>
      <c r="AA17"/>
      <c r="AB17"/>
      <c r="AC17"/>
      <c r="AD17"/>
      <c r="AE17"/>
      <c r="AF17"/>
      <c r="AG17"/>
      <c r="AH17"/>
      <c r="AI17"/>
      <c r="AJ17"/>
      <c r="AK17"/>
      <c r="AL17"/>
      <c r="AM17"/>
    </row>
    <row r="18" spans="2:39">
      <c r="B18" s="69"/>
      <c r="C18" s="124"/>
      <c r="D18" s="331"/>
      <c r="E18" s="332"/>
      <c r="F18" s="332"/>
      <c r="G18" s="333"/>
      <c r="H18" s="334"/>
      <c r="I18" s="335"/>
      <c r="J18" s="335"/>
      <c r="K18" s="333"/>
      <c r="L18" s="331"/>
      <c r="M18" s="332"/>
      <c r="N18" s="332"/>
      <c r="O18" s="332"/>
      <c r="P18" s="336"/>
      <c r="Q18" s="332"/>
      <c r="R18" s="332"/>
      <c r="S18" s="337"/>
      <c r="T18" s="40"/>
      <c r="U18" s="267"/>
      <c r="V18" s="40"/>
      <c r="W18" s="40"/>
      <c r="X18" s="40"/>
    </row>
    <row r="19" spans="2:39">
      <c r="B19" s="70" t="s">
        <v>54</v>
      </c>
      <c r="C19" s="288" t="s">
        <v>48</v>
      </c>
      <c r="D19" s="353">
        <v>0</v>
      </c>
      <c r="E19" s="72">
        <v>28</v>
      </c>
      <c r="F19" s="72">
        <v>0</v>
      </c>
      <c r="G19" s="322">
        <f>F19/E19</f>
        <v>0</v>
      </c>
      <c r="H19" s="354">
        <v>11.25</v>
      </c>
      <c r="I19" s="316">
        <v>395.113</v>
      </c>
      <c r="J19" s="355">
        <v>52.491999999999997</v>
      </c>
      <c r="K19" s="314">
        <f>J19/I19</f>
        <v>0.1328531331543128</v>
      </c>
      <c r="L19" s="353">
        <v>0</v>
      </c>
      <c r="M19" s="72">
        <v>346</v>
      </c>
      <c r="N19" s="356">
        <v>0</v>
      </c>
      <c r="O19" s="314">
        <f>N19/M19</f>
        <v>0</v>
      </c>
      <c r="P19" s="313">
        <v>0</v>
      </c>
      <c r="Q19" s="356">
        <v>0</v>
      </c>
      <c r="R19" s="356">
        <v>0</v>
      </c>
      <c r="S19" s="357">
        <v>0</v>
      </c>
      <c r="T19" s="40"/>
      <c r="U19" s="265"/>
      <c r="V19" s="40"/>
      <c r="W19" s="40"/>
      <c r="X19" s="40"/>
    </row>
    <row r="20" spans="2:39" ht="15" thickBot="1">
      <c r="B20" s="10" t="s">
        <v>58</v>
      </c>
      <c r="C20" s="125" t="s">
        <v>15</v>
      </c>
      <c r="D20" s="338"/>
      <c r="E20" s="339"/>
      <c r="F20" s="339"/>
      <c r="G20" s="340"/>
      <c r="H20" s="341"/>
      <c r="I20" s="358"/>
      <c r="J20" s="328"/>
      <c r="K20" s="340"/>
      <c r="L20" s="338"/>
      <c r="M20" s="339"/>
      <c r="N20" s="339"/>
      <c r="O20" s="339"/>
      <c r="P20" s="324"/>
      <c r="Q20" s="339"/>
      <c r="R20" s="342"/>
      <c r="S20" s="344"/>
      <c r="T20" s="38"/>
      <c r="U20" s="266"/>
      <c r="V20" s="37"/>
      <c r="W20" s="37"/>
      <c r="X20" s="37"/>
    </row>
    <row r="21" spans="2:39">
      <c r="B21" s="537" t="s">
        <v>59</v>
      </c>
      <c r="C21" s="278" t="s">
        <v>305</v>
      </c>
      <c r="D21" s="359">
        <v>204</v>
      </c>
      <c r="E21" s="350">
        <v>1008</v>
      </c>
      <c r="F21" s="350">
        <v>1574</v>
      </c>
      <c r="G21" s="322">
        <f>F21/E21</f>
        <v>1.5615079365079365</v>
      </c>
      <c r="H21" s="360">
        <v>84.346999999999994</v>
      </c>
      <c r="I21" s="541">
        <v>377.61200000000002</v>
      </c>
      <c r="J21" s="361">
        <v>290.73899999999998</v>
      </c>
      <c r="K21" s="542">
        <f>(J21+J22)/I21</f>
        <v>0.96464889886973915</v>
      </c>
      <c r="L21" s="362"/>
      <c r="M21" s="363"/>
      <c r="N21" s="364"/>
      <c r="O21" s="365"/>
      <c r="P21" s="365"/>
      <c r="Q21" s="320">
        <v>1.55</v>
      </c>
      <c r="R21" s="366"/>
      <c r="S21" s="367"/>
      <c r="T21" s="35"/>
      <c r="U21" s="268"/>
      <c r="V21" s="36"/>
      <c r="W21" s="34"/>
      <c r="X21" s="34"/>
    </row>
    <row r="22" spans="2:39">
      <c r="B22" s="538"/>
      <c r="C22" s="278" t="s">
        <v>304</v>
      </c>
      <c r="D22" s="359">
        <v>0</v>
      </c>
      <c r="E22" s="368" t="s">
        <v>312</v>
      </c>
      <c r="F22" s="350">
        <v>17125</v>
      </c>
      <c r="G22" s="322" t="s">
        <v>312</v>
      </c>
      <c r="H22" s="360">
        <v>5.625</v>
      </c>
      <c r="I22" s="540"/>
      <c r="J22" s="361">
        <v>73.524000000000001</v>
      </c>
      <c r="K22" s="543"/>
      <c r="L22" s="362"/>
      <c r="M22" s="363"/>
      <c r="N22" s="364"/>
      <c r="O22" s="365"/>
      <c r="P22" s="365"/>
      <c r="Q22" s="320">
        <v>0.47</v>
      </c>
      <c r="R22" s="366"/>
      <c r="S22" s="367"/>
      <c r="T22" s="35"/>
      <c r="U22" s="268"/>
      <c r="V22" s="36"/>
      <c r="W22" s="34"/>
      <c r="X22" s="34"/>
    </row>
    <row r="23" spans="2:39" s="56" customFormat="1">
      <c r="B23" s="9" t="s">
        <v>64</v>
      </c>
      <c r="C23" s="289" t="s">
        <v>48</v>
      </c>
      <c r="D23" s="369">
        <v>3</v>
      </c>
      <c r="E23" s="370">
        <v>144</v>
      </c>
      <c r="F23" s="368">
        <v>4</v>
      </c>
      <c r="G23" s="322">
        <f>F23/E23</f>
        <v>2.7777777777777776E-2</v>
      </c>
      <c r="H23" s="371">
        <v>43.939</v>
      </c>
      <c r="I23" s="372">
        <v>607.23900000000003</v>
      </c>
      <c r="J23" s="361">
        <v>117.68300000000001</v>
      </c>
      <c r="K23" s="314">
        <f>J23/I23</f>
        <v>0.19380013470808036</v>
      </c>
      <c r="L23" s="373">
        <f>125.4/3.412</f>
        <v>36.752637749120751</v>
      </c>
      <c r="M23" s="374">
        <f>3484/3.412</f>
        <v>1021.1019929660024</v>
      </c>
      <c r="N23" s="313">
        <f>149.9/3.412</f>
        <v>43.933177022274329</v>
      </c>
      <c r="O23" s="314">
        <f>N23/M23</f>
        <v>4.3025258323765789E-2</v>
      </c>
      <c r="P23" s="303">
        <f>N23*1.0345</f>
        <v>45.448871629542793</v>
      </c>
      <c r="Q23" s="320">
        <v>1E-3</v>
      </c>
      <c r="R23" s="313">
        <v>1841.5</v>
      </c>
      <c r="S23" s="321">
        <v>2210.1</v>
      </c>
      <c r="T23" s="60"/>
      <c r="U23" s="265"/>
      <c r="V23" s="59"/>
      <c r="W23" s="61"/>
      <c r="X23" s="61"/>
    </row>
    <row r="24" spans="2:39">
      <c r="B24" s="10" t="s">
        <v>65</v>
      </c>
      <c r="C24" s="125"/>
      <c r="D24" s="338">
        <f>SUM(D21:D23)</f>
        <v>207</v>
      </c>
      <c r="E24" s="324">
        <f t="shared" ref="E24:R24" si="3">SUM(E21:E23)</f>
        <v>1152</v>
      </c>
      <c r="F24" s="324">
        <f t="shared" si="3"/>
        <v>18703</v>
      </c>
      <c r="G24" s="325">
        <f>F24/E24</f>
        <v>16.235243055555557</v>
      </c>
      <c r="H24" s="326">
        <f t="shared" si="3"/>
        <v>133.911</v>
      </c>
      <c r="I24" s="327">
        <f t="shared" si="3"/>
        <v>984.85100000000011</v>
      </c>
      <c r="J24" s="328">
        <f>SUM(J21:J23)</f>
        <v>481.94599999999997</v>
      </c>
      <c r="K24" s="325">
        <f>J24/I24</f>
        <v>0.48935930409777711</v>
      </c>
      <c r="L24" s="351">
        <f t="shared" si="3"/>
        <v>36.752637749120751</v>
      </c>
      <c r="M24" s="324">
        <f t="shared" si="3"/>
        <v>1021.1019929660024</v>
      </c>
      <c r="N24" s="324">
        <f t="shared" si="3"/>
        <v>43.933177022274329</v>
      </c>
      <c r="O24" s="329">
        <f>N24/M24</f>
        <v>4.3025258323765789E-2</v>
      </c>
      <c r="P24" s="324">
        <f t="shared" si="3"/>
        <v>45.448871629542793</v>
      </c>
      <c r="Q24" s="330">
        <f>SUM(Q21:Q23)</f>
        <v>2.0209999999999999</v>
      </c>
      <c r="R24" s="324">
        <f t="shared" si="3"/>
        <v>1841.5</v>
      </c>
      <c r="S24" s="375">
        <f>SUM(S23)</f>
        <v>2210.1</v>
      </c>
      <c r="T24" s="38"/>
      <c r="U24" s="41"/>
      <c r="V24" s="41"/>
      <c r="W24" s="37"/>
      <c r="X24" s="37"/>
    </row>
    <row r="25" spans="2:39">
      <c r="B25" s="69"/>
      <c r="C25" s="124"/>
      <c r="D25" s="331"/>
      <c r="E25" s="332"/>
      <c r="F25" s="332"/>
      <c r="G25" s="333"/>
      <c r="H25" s="334"/>
      <c r="I25" s="335"/>
      <c r="J25" s="335"/>
      <c r="K25" s="333"/>
      <c r="L25" s="331"/>
      <c r="M25" s="332"/>
      <c r="N25" s="332"/>
      <c r="O25" s="332"/>
      <c r="P25" s="336"/>
      <c r="Q25" s="332"/>
      <c r="R25" s="332"/>
      <c r="S25" s="337"/>
      <c r="T25" s="40"/>
      <c r="U25" s="40"/>
      <c r="V25" s="40"/>
      <c r="W25" s="40"/>
      <c r="X25" s="40"/>
    </row>
    <row r="26" spans="2:39">
      <c r="B26" s="70" t="s">
        <v>297</v>
      </c>
      <c r="C26" s="288" t="s">
        <v>48</v>
      </c>
      <c r="D26" s="369">
        <v>14</v>
      </c>
      <c r="E26" s="370">
        <v>37</v>
      </c>
      <c r="F26" s="368">
        <v>32</v>
      </c>
      <c r="G26" s="322">
        <f>F26/E26</f>
        <v>0.86486486486486491</v>
      </c>
      <c r="H26" s="371">
        <v>47.774999999999999</v>
      </c>
      <c r="I26" s="316">
        <v>311.2</v>
      </c>
      <c r="J26" s="361">
        <v>126.724</v>
      </c>
      <c r="K26" s="314">
        <f>J26/I26</f>
        <v>0.40721079691516709</v>
      </c>
      <c r="L26" s="373">
        <v>17.082999999999998</v>
      </c>
      <c r="M26" s="376" t="s">
        <v>312</v>
      </c>
      <c r="N26" s="377">
        <v>40.863</v>
      </c>
      <c r="O26" s="378" t="s">
        <v>312</v>
      </c>
      <c r="P26" s="303">
        <f>N26*1.0345</f>
        <v>42.2727735</v>
      </c>
      <c r="Q26" s="349">
        <v>4.0000000000000001E-3</v>
      </c>
      <c r="R26" s="313">
        <v>263.48200000000003</v>
      </c>
      <c r="S26" s="321">
        <v>642.65200000000004</v>
      </c>
      <c r="T26" s="40"/>
      <c r="U26" s="265"/>
      <c r="V26" s="40"/>
      <c r="W26" s="40"/>
      <c r="X26" s="40"/>
    </row>
    <row r="27" spans="2:39">
      <c r="B27" s="10" t="s">
        <v>298</v>
      </c>
      <c r="C27" s="290"/>
      <c r="D27" s="379"/>
      <c r="E27" s="380"/>
      <c r="F27" s="380"/>
      <c r="G27" s="381"/>
      <c r="H27" s="326">
        <v>11.552</v>
      </c>
      <c r="I27" s="382"/>
      <c r="J27" s="327">
        <v>12.984</v>
      </c>
      <c r="K27" s="383"/>
      <c r="L27" s="379"/>
      <c r="M27" s="380"/>
      <c r="N27" s="380"/>
      <c r="O27" s="380"/>
      <c r="P27" s="384"/>
      <c r="Q27" s="385"/>
      <c r="R27" s="380"/>
      <c r="S27" s="386"/>
      <c r="T27" s="38"/>
      <c r="U27" s="37"/>
      <c r="V27" s="37"/>
      <c r="W27" s="37"/>
      <c r="X27" s="37"/>
    </row>
    <row r="28" spans="2:39" ht="15" thickBot="1">
      <c r="B28" s="19" t="s">
        <v>27</v>
      </c>
      <c r="C28" s="291"/>
      <c r="D28" s="387">
        <f>+D12+D17+D19+D24+D26</f>
        <v>39608</v>
      </c>
      <c r="E28" s="388">
        <f>+E12+E17+E19+E24+E26</f>
        <v>4236</v>
      </c>
      <c r="F28" s="388">
        <f>+F12+F17+F19+F24+F26</f>
        <v>82759</v>
      </c>
      <c r="G28" s="389">
        <f>F28/E28</f>
        <v>19.53706326723324</v>
      </c>
      <c r="H28" s="390">
        <f>+H12+H17+H19+H24+H27+H26</f>
        <v>660.06099999999992</v>
      </c>
      <c r="I28" s="391">
        <f>+I12+I17+I19+I24+I27+I26</f>
        <v>6193.597999999999</v>
      </c>
      <c r="J28" s="391">
        <f>J12+J17+J19+J24+J27+J26</f>
        <v>4889.5680000000002</v>
      </c>
      <c r="K28" s="392">
        <f>J28/I28</f>
        <v>0.78945517613509963</v>
      </c>
      <c r="L28" s="387">
        <f>+L12+L17+L19+L26+L24</f>
        <v>2513.4206377491209</v>
      </c>
      <c r="M28" s="388">
        <f>+M12+M17+M19</f>
        <v>11627</v>
      </c>
      <c r="N28" s="388">
        <f>+N12+N17+N19+N24+N26</f>
        <v>15594.566177022272</v>
      </c>
      <c r="O28" s="393">
        <f>N28/M28</f>
        <v>1.3412373077339186</v>
      </c>
      <c r="P28" s="394">
        <f>+P12+P17+P19+P24+P26</f>
        <v>16132.578710129545</v>
      </c>
      <c r="Q28" s="395">
        <f>+Q12+Q17+Q19+Q24+Q26</f>
        <v>4.3649999999999993</v>
      </c>
      <c r="R28" s="394">
        <f>+R12+R17+R19+R24+R26</f>
        <v>26084.142</v>
      </c>
      <c r="S28" s="394">
        <f>+S12+S17+S19+S24+S26</f>
        <v>177438.82800000001</v>
      </c>
      <c r="T28" s="38"/>
      <c r="U28" s="37"/>
      <c r="V28" s="37"/>
      <c r="W28" s="37"/>
      <c r="X28" s="37"/>
    </row>
    <row r="29" spans="2:39" ht="16.5">
      <c r="B29" s="21" t="s">
        <v>52</v>
      </c>
      <c r="C29" s="13"/>
      <c r="D29" s="13"/>
      <c r="E29" s="13"/>
      <c r="F29" s="13"/>
      <c r="G29" s="13"/>
      <c r="H29" s="13"/>
      <c r="I29" s="13"/>
      <c r="J29" s="13"/>
      <c r="K29" s="13"/>
      <c r="L29" s="13"/>
      <c r="M29" s="13"/>
      <c r="N29" s="13"/>
      <c r="O29" s="13"/>
      <c r="P29" s="13"/>
      <c r="Q29" s="13"/>
      <c r="R29" s="13"/>
      <c r="S29" s="13"/>
      <c r="T29" s="14"/>
      <c r="U29" s="13"/>
      <c r="V29" s="13"/>
      <c r="W29" s="15"/>
      <c r="X29" s="15"/>
      <c r="Y29" s="13"/>
      <c r="Z29" s="13"/>
      <c r="AA29" s="13"/>
      <c r="AB29" s="13"/>
      <c r="AC29" s="13"/>
      <c r="AD29" s="13"/>
      <c r="AE29" s="13"/>
      <c r="AF29" s="13"/>
      <c r="AG29" s="13"/>
      <c r="AH29" s="13"/>
      <c r="AI29" s="13"/>
      <c r="AJ29" s="13"/>
      <c r="AK29" s="13"/>
      <c r="AL29" s="13"/>
      <c r="AM29" s="13"/>
    </row>
    <row r="30" spans="2:39" ht="16">
      <c r="B30" s="236" t="s">
        <v>296</v>
      </c>
      <c r="C30" s="13"/>
      <c r="D30" s="13"/>
      <c r="E30" s="13"/>
      <c r="F30" s="13"/>
      <c r="G30" s="13"/>
      <c r="H30" s="13"/>
      <c r="I30" s="13"/>
      <c r="J30" s="13"/>
      <c r="K30" s="13"/>
      <c r="L30" s="285"/>
      <c r="M30" s="13"/>
      <c r="N30" s="13"/>
      <c r="O30" s="13"/>
      <c r="P30" s="13"/>
      <c r="Q30" s="13"/>
      <c r="R30" s="13"/>
      <c r="S30" s="13"/>
      <c r="T30" s="14"/>
      <c r="U30" s="13"/>
      <c r="V30" s="13"/>
      <c r="W30" s="15"/>
      <c r="X30" s="15"/>
      <c r="Y30" s="13"/>
      <c r="Z30" s="13"/>
      <c r="AA30" s="13"/>
      <c r="AB30" s="13"/>
      <c r="AC30" s="13"/>
      <c r="AD30" s="13"/>
      <c r="AE30" s="13"/>
      <c r="AF30" s="13"/>
      <c r="AG30" s="13"/>
      <c r="AH30" s="13"/>
      <c r="AI30" s="13"/>
      <c r="AJ30" s="13"/>
      <c r="AK30" s="13"/>
      <c r="AL30" s="13"/>
      <c r="AM30" s="13"/>
    </row>
    <row r="31" spans="2:39">
      <c r="B31" t="s">
        <v>55</v>
      </c>
    </row>
    <row r="32" spans="2:39">
      <c r="B32" t="s">
        <v>311</v>
      </c>
    </row>
    <row r="33" spans="2:12">
      <c r="B33" t="s">
        <v>299</v>
      </c>
      <c r="H33" s="262"/>
      <c r="J33" s="262"/>
      <c r="L33" s="274"/>
    </row>
    <row r="35" spans="2:12">
      <c r="K35" s="65"/>
    </row>
    <row r="37" spans="2:12">
      <c r="G37" t="s">
        <v>2</v>
      </c>
    </row>
  </sheetData>
  <mergeCells count="12">
    <mergeCell ref="D4:G4"/>
    <mergeCell ref="H4:K4"/>
    <mergeCell ref="B10:B11"/>
    <mergeCell ref="L4:S4"/>
    <mergeCell ref="B8:B9"/>
    <mergeCell ref="M8:M9"/>
    <mergeCell ref="O8:O9"/>
    <mergeCell ref="B21:B22"/>
    <mergeCell ref="I8:I9"/>
    <mergeCell ref="I21:I22"/>
    <mergeCell ref="K8:K9"/>
    <mergeCell ref="K21:K22"/>
  </mergeCells>
  <pageMargins left="0.25" right="0.25" top="0.75" bottom="0.75" header="0.3" footer="0.3"/>
  <pageSetup scale="24" fitToHeight="0" orientation="landscape" r:id="rId1"/>
  <ignoredErrors>
    <ignoredError sqref="K12 K17 K2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O23"/>
  <sheetViews>
    <sheetView zoomScaleNormal="100" zoomScaleSheetLayoutView="100" workbookViewId="0">
      <selection activeCell="B3" sqref="B3:I23"/>
    </sheetView>
  </sheetViews>
  <sheetFormatPr defaultColWidth="9.453125" defaultRowHeight="14.5"/>
  <cols>
    <col min="1" max="1" width="4.453125" customWidth="1"/>
    <col min="2" max="2" width="32" customWidth="1"/>
    <col min="3" max="3" width="64.5429687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15" ht="23.5">
      <c r="A1" s="1" t="s">
        <v>0</v>
      </c>
      <c r="K1" s="35"/>
      <c r="N1" s="34"/>
      <c r="O1" s="34"/>
    </row>
    <row r="2" spans="1:15">
      <c r="K2" s="35"/>
      <c r="N2" s="34"/>
      <c r="O2" s="34"/>
    </row>
    <row r="3" spans="1:15" ht="19" thickBot="1">
      <c r="A3" s="5"/>
      <c r="B3" s="5" t="s">
        <v>294</v>
      </c>
      <c r="C3" s="5"/>
      <c r="D3" s="5"/>
      <c r="E3" s="5"/>
      <c r="F3" s="5"/>
      <c r="G3" s="5"/>
      <c r="H3" s="5"/>
      <c r="K3" s="44"/>
      <c r="N3" s="34"/>
      <c r="O3" s="34"/>
    </row>
    <row r="4" spans="1:15" ht="43.4" customHeight="1" thickBot="1">
      <c r="A4" t="s">
        <v>1</v>
      </c>
      <c r="B4" s="29"/>
      <c r="C4" s="29"/>
      <c r="D4" s="544" t="s">
        <v>4</v>
      </c>
      <c r="E4" s="544"/>
      <c r="F4" s="556" t="s">
        <v>45</v>
      </c>
      <c r="G4" s="557"/>
      <c r="H4" s="558" t="s">
        <v>29</v>
      </c>
      <c r="I4" s="559"/>
      <c r="K4" s="35"/>
      <c r="M4" s="42" t="s">
        <v>4</v>
      </c>
      <c r="N4" s="42"/>
      <c r="O4" s="42"/>
    </row>
    <row r="5" spans="1:15" ht="21" customHeight="1" thickBot="1">
      <c r="B5" s="55"/>
      <c r="C5" s="29"/>
      <c r="D5" s="73" t="s">
        <v>5</v>
      </c>
      <c r="E5" s="74" t="s">
        <v>6</v>
      </c>
      <c r="F5" s="75" t="s">
        <v>7</v>
      </c>
      <c r="G5" s="76" t="s">
        <v>8</v>
      </c>
      <c r="H5" s="77" t="s">
        <v>9</v>
      </c>
      <c r="I5" s="78" t="s">
        <v>10</v>
      </c>
      <c r="K5" s="35"/>
      <c r="N5" s="34"/>
      <c r="O5" s="34"/>
    </row>
    <row r="6" spans="1:15" ht="52.5" customHeight="1" thickBot="1">
      <c r="B6" s="79"/>
      <c r="C6" s="80"/>
      <c r="D6" s="560" t="s">
        <v>91</v>
      </c>
      <c r="E6" s="561"/>
      <c r="F6" s="562" t="s">
        <v>100</v>
      </c>
      <c r="G6" s="563"/>
      <c r="H6" s="554" t="s">
        <v>95</v>
      </c>
      <c r="I6" s="555"/>
      <c r="K6" s="35"/>
      <c r="N6" s="34"/>
      <c r="O6" s="34"/>
    </row>
    <row r="7" spans="1:15" ht="29.5" thickBot="1">
      <c r="B7" s="90" t="s">
        <v>14</v>
      </c>
      <c r="C7" s="91" t="s">
        <v>15</v>
      </c>
      <c r="D7" s="92" t="s">
        <v>46</v>
      </c>
      <c r="E7" s="93" t="s">
        <v>47</v>
      </c>
      <c r="F7" s="92" t="s">
        <v>46</v>
      </c>
      <c r="G7" s="93" t="s">
        <v>47</v>
      </c>
      <c r="H7" s="92" t="s">
        <v>46</v>
      </c>
      <c r="I7" s="94" t="s">
        <v>47</v>
      </c>
      <c r="J7" s="37"/>
      <c r="K7" s="38"/>
      <c r="L7" s="37"/>
      <c r="M7" s="37"/>
      <c r="N7" s="37"/>
      <c r="O7" s="37"/>
    </row>
    <row r="8" spans="1:15">
      <c r="B8" s="550" t="s">
        <v>16</v>
      </c>
      <c r="C8" s="279" t="s">
        <v>301</v>
      </c>
      <c r="D8" s="409">
        <v>8</v>
      </c>
      <c r="E8" s="286">
        <f>'Ap B - Qtr Electric Master'!F8-' Ap C - Qtr Electric LMI'!D8</f>
        <v>25197</v>
      </c>
      <c r="F8" s="402">
        <f>D8/(D8+E8)*300.155</f>
        <v>9.5268399127157302E-2</v>
      </c>
      <c r="G8" s="396">
        <f>300.155-F8</f>
        <v>300.05973160087279</v>
      </c>
      <c r="H8" s="410">
        <f>D8/(D8+E8)*'Ap B - Qtr Electric Master'!N8</f>
        <v>1.2294744693513191</v>
      </c>
      <c r="I8" s="287">
        <f>'Ap B - Qtr Electric Master'!N8-H8</f>
        <v>3872.3835255306485</v>
      </c>
      <c r="J8" s="34"/>
      <c r="K8" s="39"/>
      <c r="L8" s="34"/>
      <c r="M8" s="34"/>
      <c r="N8" s="34"/>
      <c r="O8" s="34"/>
    </row>
    <row r="9" spans="1:15">
      <c r="B9" s="551"/>
      <c r="C9" s="280" t="s">
        <v>300</v>
      </c>
      <c r="D9" s="89" t="s">
        <v>48</v>
      </c>
      <c r="E9" s="281">
        <f>'Ap B - Qtr Electric Master'!F9</f>
        <v>35138</v>
      </c>
      <c r="F9" s="397" t="s">
        <v>48</v>
      </c>
      <c r="G9" s="397">
        <v>0</v>
      </c>
      <c r="H9" s="89" t="s">
        <v>48</v>
      </c>
      <c r="I9" s="284">
        <f>'Ap B - Qtr Electric Master'!N9</f>
        <v>2380</v>
      </c>
      <c r="J9" s="34"/>
      <c r="K9" s="39"/>
      <c r="L9" s="34"/>
      <c r="M9" s="34"/>
      <c r="N9" s="34"/>
      <c r="O9" s="34"/>
    </row>
    <row r="10" spans="1:15">
      <c r="B10" s="548" t="s">
        <v>17</v>
      </c>
      <c r="C10" s="277" t="s">
        <v>302</v>
      </c>
      <c r="D10" s="72">
        <v>0</v>
      </c>
      <c r="E10" s="72">
        <v>0</v>
      </c>
      <c r="F10" s="401">
        <v>0</v>
      </c>
      <c r="G10" s="398">
        <v>0</v>
      </c>
      <c r="H10" s="72">
        <v>0</v>
      </c>
      <c r="I10" s="50">
        <v>0</v>
      </c>
      <c r="J10" s="34"/>
      <c r="K10" s="39"/>
      <c r="L10" s="34"/>
      <c r="M10" s="34"/>
      <c r="N10" s="34"/>
      <c r="O10" s="34"/>
    </row>
    <row r="11" spans="1:15">
      <c r="B11" s="548"/>
      <c r="C11" s="277" t="s">
        <v>18</v>
      </c>
      <c r="D11" s="319">
        <f>'Ap B - Qtr Electric Master'!F11</f>
        <v>3504</v>
      </c>
      <c r="E11" s="72" t="s">
        <v>48</v>
      </c>
      <c r="F11" s="401">
        <v>20.407</v>
      </c>
      <c r="G11" s="398" t="s">
        <v>48</v>
      </c>
      <c r="H11" s="319">
        <f>'Ap B - Qtr Electric Master'!N11</f>
        <v>575.69399999999996</v>
      </c>
      <c r="I11" s="50" t="s">
        <v>48</v>
      </c>
      <c r="J11" s="34"/>
      <c r="K11" s="39"/>
      <c r="L11" s="34"/>
      <c r="M11" s="34"/>
      <c r="N11" s="34"/>
      <c r="O11" s="34"/>
    </row>
    <row r="12" spans="1:15">
      <c r="B12" s="10" t="s">
        <v>19</v>
      </c>
      <c r="C12" s="11"/>
      <c r="D12" s="324">
        <f t="shared" ref="D12:I12" si="0">SUM(D8:D11)</f>
        <v>3512</v>
      </c>
      <c r="E12" s="324">
        <f t="shared" si="0"/>
        <v>60335</v>
      </c>
      <c r="F12" s="403">
        <f t="shared" si="0"/>
        <v>20.502268399127157</v>
      </c>
      <c r="G12" s="403">
        <f t="shared" si="0"/>
        <v>300.05973160087279</v>
      </c>
      <c r="H12" s="411">
        <f t="shared" si="0"/>
        <v>576.92347446935128</v>
      </c>
      <c r="I12" s="324">
        <f t="shared" si="0"/>
        <v>6252.3835255306485</v>
      </c>
      <c r="J12" s="37"/>
      <c r="K12" s="38"/>
      <c r="L12" s="37"/>
      <c r="M12" s="37"/>
      <c r="N12" s="37"/>
      <c r="O12" s="37"/>
    </row>
    <row r="13" spans="1:15">
      <c r="B13" s="69"/>
      <c r="C13" s="66"/>
      <c r="D13" s="336"/>
      <c r="E13" s="332"/>
      <c r="F13" s="404"/>
      <c r="G13" s="405"/>
      <c r="H13" s="332"/>
      <c r="I13" s="412"/>
      <c r="J13" s="40"/>
      <c r="K13" s="40"/>
      <c r="L13" s="40"/>
      <c r="M13" s="40"/>
      <c r="N13" s="40"/>
      <c r="O13" s="40"/>
    </row>
    <row r="14" spans="1:15">
      <c r="B14" s="70" t="s">
        <v>53</v>
      </c>
      <c r="C14" s="67" t="s">
        <v>48</v>
      </c>
      <c r="D14" s="319">
        <v>0</v>
      </c>
      <c r="E14" s="72">
        <v>0</v>
      </c>
      <c r="F14" s="401">
        <v>0</v>
      </c>
      <c r="G14" s="398">
        <v>0</v>
      </c>
      <c r="H14" s="72">
        <v>0</v>
      </c>
      <c r="I14" s="283">
        <v>0</v>
      </c>
      <c r="J14" s="40"/>
      <c r="K14" s="40"/>
      <c r="L14" s="40"/>
      <c r="M14" s="40"/>
      <c r="N14" s="40"/>
      <c r="O14" s="40"/>
    </row>
    <row r="15" spans="1:15">
      <c r="B15" s="10" t="s">
        <v>58</v>
      </c>
      <c r="C15" s="11" t="s">
        <v>15</v>
      </c>
      <c r="D15" s="324"/>
      <c r="E15" s="339"/>
      <c r="F15" s="403"/>
      <c r="G15" s="406"/>
      <c r="H15" s="339"/>
      <c r="I15" s="413"/>
      <c r="J15" s="37"/>
      <c r="K15" s="38"/>
      <c r="L15" s="37"/>
      <c r="M15" s="37"/>
      <c r="N15" s="37"/>
      <c r="O15" s="37"/>
    </row>
    <row r="16" spans="1:15">
      <c r="B16" s="537" t="s">
        <v>59</v>
      </c>
      <c r="C16" s="278" t="s">
        <v>305</v>
      </c>
      <c r="D16" s="414">
        <v>2</v>
      </c>
      <c r="E16" s="282">
        <f>'Ap B - Qtr Electric Master'!F21-' Ap C - Qtr Electric LMI'!D16</f>
        <v>1572</v>
      </c>
      <c r="F16" s="402">
        <f>D16/(D16+E16)*190.91</f>
        <v>0.24257941550190598</v>
      </c>
      <c r="G16" s="399">
        <f>190.91-F16</f>
        <v>190.6674205844981</v>
      </c>
      <c r="H16" s="89" t="s">
        <v>48</v>
      </c>
      <c r="I16" s="283" t="s">
        <v>48</v>
      </c>
      <c r="J16" s="36"/>
      <c r="K16" s="35"/>
      <c r="L16" s="36"/>
      <c r="M16" s="36"/>
      <c r="N16" s="34"/>
      <c r="O16" s="34"/>
    </row>
    <row r="17" spans="2:15">
      <c r="B17" s="538"/>
      <c r="C17" s="278" t="s">
        <v>304</v>
      </c>
      <c r="D17" s="281" t="s">
        <v>48</v>
      </c>
      <c r="E17" s="281">
        <f>'Ap B - Qtr Electric Master'!F22</f>
        <v>17125</v>
      </c>
      <c r="F17" s="400" t="s">
        <v>48</v>
      </c>
      <c r="G17" s="399">
        <v>0</v>
      </c>
      <c r="H17" s="89" t="s">
        <v>48</v>
      </c>
      <c r="I17" s="283" t="s">
        <v>48</v>
      </c>
      <c r="J17" s="36"/>
      <c r="K17" s="35"/>
      <c r="L17" s="36"/>
      <c r="M17" s="36"/>
      <c r="N17" s="34"/>
      <c r="O17" s="34"/>
    </row>
    <row r="18" spans="2:15">
      <c r="B18" s="9" t="s">
        <v>57</v>
      </c>
      <c r="C18" s="68" t="s">
        <v>48</v>
      </c>
      <c r="D18" s="414">
        <v>0</v>
      </c>
      <c r="E18" s="282">
        <f>'Ap B - Qtr Electric Master'!F23-' Ap C - Qtr Electric LMI'!D18</f>
        <v>4</v>
      </c>
      <c r="F18" s="402">
        <v>0</v>
      </c>
      <c r="G18" s="399">
        <v>26.08</v>
      </c>
      <c r="H18" s="368">
        <v>0</v>
      </c>
      <c r="I18" s="283">
        <f>'Ap B - Qtr Electric Master'!N23</f>
        <v>43.933177022274329</v>
      </c>
      <c r="J18" s="36"/>
      <c r="K18" s="35"/>
      <c r="L18" s="36"/>
      <c r="M18" s="36"/>
      <c r="N18" s="34"/>
      <c r="O18" s="34"/>
    </row>
    <row r="19" spans="2:15">
      <c r="B19" s="10" t="s">
        <v>65</v>
      </c>
      <c r="C19" s="11"/>
      <c r="D19" s="324">
        <f t="shared" ref="D19:I19" si="1">SUM(D16:D18)</f>
        <v>2</v>
      </c>
      <c r="E19" s="324">
        <f t="shared" si="1"/>
        <v>18701</v>
      </c>
      <c r="F19" s="403">
        <f t="shared" si="1"/>
        <v>0.24257941550190598</v>
      </c>
      <c r="G19" s="403">
        <f t="shared" si="1"/>
        <v>216.74742058449812</v>
      </c>
      <c r="H19" s="339">
        <f t="shared" si="1"/>
        <v>0</v>
      </c>
      <c r="I19" s="324">
        <f t="shared" si="1"/>
        <v>43.933177022274329</v>
      </c>
      <c r="J19" s="41"/>
      <c r="K19" s="38"/>
      <c r="L19" s="41"/>
      <c r="M19" s="41"/>
      <c r="N19" s="37"/>
      <c r="O19" s="37"/>
    </row>
    <row r="20" spans="2:15">
      <c r="B20" s="69"/>
      <c r="C20" s="66"/>
      <c r="D20" s="336"/>
      <c r="E20" s="332"/>
      <c r="F20" s="404"/>
      <c r="G20" s="405"/>
      <c r="H20" s="332"/>
      <c r="I20" s="412"/>
      <c r="J20" s="40"/>
      <c r="K20" s="40"/>
      <c r="L20" s="40"/>
      <c r="M20" s="40"/>
      <c r="N20" s="40"/>
      <c r="O20" s="40"/>
    </row>
    <row r="21" spans="2:15">
      <c r="B21" s="70" t="s">
        <v>297</v>
      </c>
      <c r="C21" s="67" t="s">
        <v>48</v>
      </c>
      <c r="D21" s="319">
        <f>'Ap B - Qtr Electric Master'!F26</f>
        <v>32</v>
      </c>
      <c r="E21" s="72" t="s">
        <v>48</v>
      </c>
      <c r="F21" s="401">
        <f>61.893</f>
        <v>61.893000000000001</v>
      </c>
      <c r="G21" s="401">
        <v>0</v>
      </c>
      <c r="H21" s="415">
        <f>'Ap B - Qtr Electric Master'!N26</f>
        <v>40.863</v>
      </c>
      <c r="I21" s="283">
        <v>0</v>
      </c>
      <c r="J21" s="40"/>
      <c r="K21" s="40"/>
      <c r="L21" s="40"/>
      <c r="M21" s="40"/>
      <c r="N21" s="40"/>
      <c r="O21" s="40"/>
    </row>
    <row r="22" spans="2:15" ht="15" thickBot="1">
      <c r="B22" s="19" t="s">
        <v>28</v>
      </c>
      <c r="C22" s="20"/>
      <c r="D22" s="416"/>
      <c r="E22" s="417"/>
      <c r="F22" s="407">
        <v>0</v>
      </c>
      <c r="G22" s="408">
        <v>0</v>
      </c>
      <c r="H22" s="418"/>
      <c r="I22" s="419"/>
      <c r="J22" s="37"/>
      <c r="K22" s="38"/>
      <c r="L22" s="37"/>
      <c r="M22" s="37"/>
      <c r="N22" s="37"/>
      <c r="O22" s="37"/>
    </row>
    <row r="23" spans="2:15">
      <c r="B23" s="10" t="s">
        <v>27</v>
      </c>
      <c r="C23" s="11"/>
      <c r="D23" s="324">
        <f>+D12+D14+D19+D21</f>
        <v>3546</v>
      </c>
      <c r="E23" s="324">
        <f>+E12+E14+E19</f>
        <v>79036</v>
      </c>
      <c r="F23" s="403">
        <f>+F12+F14+F19+F21</f>
        <v>82.637847814629069</v>
      </c>
      <c r="G23" s="403">
        <f t="shared" ref="G23:I23" si="2">+G12+G14+G19+G21</f>
        <v>516.80715218537091</v>
      </c>
      <c r="H23" s="411">
        <f>+H12+H14+H19+H21</f>
        <v>617.78647446935133</v>
      </c>
      <c r="I23" s="324">
        <f t="shared" si="2"/>
        <v>6296.3167025529228</v>
      </c>
      <c r="J23" s="37"/>
      <c r="K23" s="38"/>
      <c r="L23" s="37"/>
      <c r="M23" s="37"/>
      <c r="N23" s="37"/>
      <c r="O23" s="37"/>
    </row>
  </sheetData>
  <mergeCells count="9">
    <mergeCell ref="H6:I6"/>
    <mergeCell ref="D4:E4"/>
    <mergeCell ref="F4:G4"/>
    <mergeCell ref="H4:I4"/>
    <mergeCell ref="B16:B17"/>
    <mergeCell ref="B8:B9"/>
    <mergeCell ref="B10:B11"/>
    <mergeCell ref="D6:E6"/>
    <mergeCell ref="F6:G6"/>
  </mergeCells>
  <pageMargins left="0.25" right="0.25" top="0.75" bottom="0.75" header="0.3" footer="0.3"/>
  <pageSetup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19"/>
  <sheetViews>
    <sheetView zoomScaleNormal="100" zoomScaleSheetLayoutView="100" workbookViewId="0">
      <selection activeCell="B3" sqref="B3:I19"/>
    </sheetView>
  </sheetViews>
  <sheetFormatPr defaultColWidth="9.453125" defaultRowHeight="14.5"/>
  <cols>
    <col min="1" max="1" width="4.453125" customWidth="1"/>
    <col min="2" max="2" width="41.453125" customWidth="1"/>
    <col min="3" max="3" width="65.45312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c r="A1" s="1" t="s">
        <v>0</v>
      </c>
      <c r="K1" s="35"/>
      <c r="N1" s="34"/>
      <c r="O1" s="34"/>
    </row>
    <row r="2" spans="1:30">
      <c r="K2" s="35"/>
      <c r="N2" s="34"/>
      <c r="O2" s="34"/>
    </row>
    <row r="3" spans="1:30" ht="19" thickBot="1">
      <c r="A3" s="5"/>
      <c r="B3" s="5" t="s">
        <v>294</v>
      </c>
      <c r="C3" s="5"/>
      <c r="D3" s="5"/>
      <c r="E3" s="5"/>
      <c r="F3" s="5"/>
      <c r="G3" s="5"/>
      <c r="H3" s="5"/>
      <c r="K3" s="44"/>
      <c r="N3" s="34"/>
      <c r="O3" s="34"/>
    </row>
    <row r="4" spans="1:30" ht="43.4" customHeight="1" thickBot="1">
      <c r="A4" t="s">
        <v>1</v>
      </c>
      <c r="B4" s="87"/>
      <c r="C4" s="88"/>
      <c r="D4" s="544" t="s">
        <v>4</v>
      </c>
      <c r="E4" s="545"/>
      <c r="F4" s="556" t="s">
        <v>45</v>
      </c>
      <c r="G4" s="557"/>
      <c r="H4" s="558" t="s">
        <v>29</v>
      </c>
      <c r="I4" s="559"/>
      <c r="K4" s="35"/>
      <c r="M4" s="42" t="s">
        <v>4</v>
      </c>
      <c r="N4" s="42"/>
      <c r="O4" s="42"/>
    </row>
    <row r="5" spans="1:30" ht="21" customHeight="1" thickBot="1">
      <c r="B5" s="53"/>
      <c r="C5" s="95"/>
      <c r="D5" s="62" t="s">
        <v>5</v>
      </c>
      <c r="E5" s="49" t="s">
        <v>6</v>
      </c>
      <c r="F5" s="51" t="s">
        <v>7</v>
      </c>
      <c r="G5" s="52" t="s">
        <v>8</v>
      </c>
      <c r="H5" s="48" t="s">
        <v>9</v>
      </c>
      <c r="I5" s="49" t="s">
        <v>10</v>
      </c>
      <c r="K5" s="35"/>
      <c r="N5" s="34"/>
      <c r="O5" s="34"/>
    </row>
    <row r="6" spans="1:30" ht="52.5" customHeight="1" thickBot="1">
      <c r="B6" s="54"/>
      <c r="C6" s="96"/>
      <c r="D6" s="564" t="s">
        <v>91</v>
      </c>
      <c r="E6" s="565"/>
      <c r="F6" s="566" t="s">
        <v>100</v>
      </c>
      <c r="G6" s="567"/>
      <c r="H6" s="554" t="s">
        <v>95</v>
      </c>
      <c r="I6" s="555"/>
      <c r="K6" s="35"/>
      <c r="N6" s="34"/>
      <c r="O6" s="34"/>
    </row>
    <row r="7" spans="1:30" ht="29">
      <c r="B7" s="81" t="s">
        <v>20</v>
      </c>
      <c r="C7" s="82" t="s">
        <v>44</v>
      </c>
      <c r="D7" s="83" t="s">
        <v>49</v>
      </c>
      <c r="E7" s="83" t="s">
        <v>50</v>
      </c>
      <c r="F7" s="83" t="s">
        <v>49</v>
      </c>
      <c r="G7" s="83" t="s">
        <v>50</v>
      </c>
      <c r="H7" s="83" t="s">
        <v>49</v>
      </c>
      <c r="I7" s="84" t="s">
        <v>50</v>
      </c>
      <c r="J7" s="37"/>
      <c r="K7" s="38"/>
      <c r="L7" s="37"/>
      <c r="M7" s="37"/>
      <c r="N7" s="37"/>
      <c r="O7" s="37"/>
    </row>
    <row r="8" spans="1:30">
      <c r="B8" s="86" t="s">
        <v>21</v>
      </c>
      <c r="C8" s="64" t="s">
        <v>48</v>
      </c>
      <c r="D8" s="72">
        <f>'Ap B - Qtr Electric Master'!F15</f>
        <v>52</v>
      </c>
      <c r="E8" s="72" t="s">
        <v>48</v>
      </c>
      <c r="F8" s="316">
        <v>694.49300000000005</v>
      </c>
      <c r="G8" s="355" t="s">
        <v>48</v>
      </c>
      <c r="H8" s="319">
        <f>'Ap B - Qtr Electric Master'!N15</f>
        <v>1209.3720000000001</v>
      </c>
      <c r="I8" s="50" t="s">
        <v>48</v>
      </c>
      <c r="J8" s="36"/>
      <c r="K8" s="35"/>
      <c r="L8" s="36"/>
      <c r="M8" s="36"/>
      <c r="N8" s="34"/>
      <c r="O8" s="34"/>
    </row>
    <row r="9" spans="1:30" ht="14.25" customHeight="1">
      <c r="B9" s="86" t="s">
        <v>56</v>
      </c>
      <c r="C9" s="277" t="s">
        <v>303</v>
      </c>
      <c r="D9" s="72">
        <v>92</v>
      </c>
      <c r="E9" s="72">
        <f>'Ap B - Qtr Electric Master'!F16-' Ap D - Qtr Electric Business'!D9</f>
        <v>33</v>
      </c>
      <c r="F9" s="316">
        <f>(D9/(D9+E9))*1719.257</f>
        <v>1265.3731520000001</v>
      </c>
      <c r="G9" s="316">
        <f>1719.257-' Ap D - Qtr Electric Business'!F9</f>
        <v>453.88384799999994</v>
      </c>
      <c r="H9" s="319">
        <f>(D9/(D9+E9))*'Ap B - Qtr Electric Master'!N16</f>
        <v>5498.722976</v>
      </c>
      <c r="I9" s="283">
        <f>'Ap B - Qtr Electric Master'!N16-' Ap D - Qtr Electric Business'!H9</f>
        <v>1972.3680240000003</v>
      </c>
      <c r="J9" s="43"/>
      <c r="K9" s="43"/>
      <c r="L9" s="43"/>
      <c r="M9" s="36"/>
      <c r="N9" s="34"/>
      <c r="O9" s="34"/>
    </row>
    <row r="10" spans="1:30" s="13" customFormat="1">
      <c r="B10" s="10" t="s">
        <v>25</v>
      </c>
      <c r="C10" s="125"/>
      <c r="D10" s="339">
        <f>SUM(D8:D9)</f>
        <v>144</v>
      </c>
      <c r="E10" s="339">
        <f>E9</f>
        <v>33</v>
      </c>
      <c r="F10" s="328">
        <f>SUM(F8:F9)</f>
        <v>1959.8661520000001</v>
      </c>
      <c r="G10" s="327">
        <f>G9</f>
        <v>453.88384799999994</v>
      </c>
      <c r="H10" s="324">
        <f>SUM(H8:H9)</f>
        <v>6708.0949760000003</v>
      </c>
      <c r="I10" s="413">
        <f>I9</f>
        <v>1972.3680240000003</v>
      </c>
      <c r="J10" s="37"/>
      <c r="K10" s="38"/>
      <c r="L10" s="37"/>
      <c r="M10" s="37"/>
      <c r="N10" s="37"/>
      <c r="O10" s="37"/>
      <c r="P10"/>
      <c r="Q10"/>
      <c r="R10"/>
      <c r="S10"/>
      <c r="T10"/>
      <c r="U10"/>
      <c r="V10"/>
      <c r="W10"/>
      <c r="X10"/>
      <c r="Y10"/>
      <c r="Z10"/>
      <c r="AA10"/>
      <c r="AB10"/>
      <c r="AC10"/>
      <c r="AD10"/>
    </row>
    <row r="11" spans="1:30">
      <c r="B11" s="69"/>
      <c r="C11" s="124"/>
      <c r="D11" s="332"/>
      <c r="E11" s="332"/>
      <c r="F11" s="335"/>
      <c r="G11" s="335"/>
      <c r="H11" s="336"/>
      <c r="I11" s="412"/>
      <c r="J11" s="40"/>
      <c r="K11" s="40"/>
      <c r="L11" s="40"/>
      <c r="M11" s="40"/>
      <c r="N11" s="40"/>
      <c r="O11" s="40"/>
    </row>
    <row r="12" spans="1:30">
      <c r="B12" s="85" t="s">
        <v>58</v>
      </c>
      <c r="C12" s="125" t="s">
        <v>15</v>
      </c>
      <c r="D12" s="339"/>
      <c r="E12" s="339"/>
      <c r="F12" s="328"/>
      <c r="G12" s="328"/>
      <c r="H12" s="324"/>
      <c r="I12" s="413"/>
      <c r="J12" s="37"/>
      <c r="K12" s="38"/>
      <c r="L12" s="37"/>
      <c r="M12" s="37"/>
      <c r="N12" s="37"/>
      <c r="O12" s="37"/>
    </row>
    <row r="13" spans="1:30">
      <c r="B13" s="537" t="s">
        <v>59</v>
      </c>
      <c r="C13" s="278" t="s">
        <v>305</v>
      </c>
      <c r="D13" s="368">
        <v>0</v>
      </c>
      <c r="E13" s="350">
        <v>0</v>
      </c>
      <c r="F13" s="420">
        <v>0</v>
      </c>
      <c r="G13" s="420">
        <v>0</v>
      </c>
      <c r="H13" s="319">
        <v>0</v>
      </c>
      <c r="I13" s="283">
        <v>0</v>
      </c>
      <c r="J13" s="36"/>
      <c r="K13" s="35"/>
      <c r="L13" s="36"/>
      <c r="M13" s="36"/>
      <c r="N13" s="34"/>
      <c r="O13" s="34"/>
    </row>
    <row r="14" spans="1:30">
      <c r="B14" s="538"/>
      <c r="C14" s="278" t="s">
        <v>304</v>
      </c>
      <c r="D14" s="368">
        <v>0</v>
      </c>
      <c r="E14" s="350">
        <v>0</v>
      </c>
      <c r="F14" s="420">
        <v>0</v>
      </c>
      <c r="G14" s="420">
        <v>0</v>
      </c>
      <c r="H14" s="319">
        <v>0</v>
      </c>
      <c r="I14" s="283">
        <v>0</v>
      </c>
      <c r="J14" s="36"/>
      <c r="K14" s="35"/>
      <c r="L14" s="36"/>
      <c r="M14" s="36"/>
      <c r="N14" s="34"/>
      <c r="O14" s="34"/>
    </row>
    <row r="15" spans="1:30">
      <c r="B15" s="9" t="s">
        <v>64</v>
      </c>
      <c r="C15" s="68" t="s">
        <v>48</v>
      </c>
      <c r="D15" s="368">
        <v>0</v>
      </c>
      <c r="E15" s="350">
        <v>0</v>
      </c>
      <c r="F15" s="420">
        <v>0</v>
      </c>
      <c r="G15" s="420">
        <v>0</v>
      </c>
      <c r="H15" s="319">
        <v>0</v>
      </c>
      <c r="I15" s="283">
        <v>0</v>
      </c>
      <c r="J15" s="36"/>
      <c r="K15" s="35"/>
      <c r="L15" s="36"/>
      <c r="M15" s="36"/>
      <c r="N15" s="34"/>
      <c r="O15" s="34"/>
    </row>
    <row r="16" spans="1:30">
      <c r="B16" s="10" t="s">
        <v>65</v>
      </c>
      <c r="C16" s="11"/>
      <c r="D16" s="339">
        <f t="shared" ref="D16:I16" si="0">SUM(D13:D15)</f>
        <v>0</v>
      </c>
      <c r="E16" s="324">
        <f t="shared" si="0"/>
        <v>0</v>
      </c>
      <c r="F16" s="328">
        <f t="shared" si="0"/>
        <v>0</v>
      </c>
      <c r="G16" s="328">
        <f t="shared" si="0"/>
        <v>0</v>
      </c>
      <c r="H16" s="324">
        <f t="shared" si="0"/>
        <v>0</v>
      </c>
      <c r="I16" s="413">
        <f t="shared" si="0"/>
        <v>0</v>
      </c>
      <c r="J16" s="41"/>
      <c r="K16" s="38"/>
      <c r="L16" s="41"/>
      <c r="M16" s="41"/>
      <c r="N16" s="37"/>
      <c r="O16" s="37"/>
    </row>
    <row r="17" spans="2:15">
      <c r="B17" s="69"/>
      <c r="C17" s="66"/>
      <c r="D17" s="332"/>
      <c r="E17" s="332"/>
      <c r="F17" s="335"/>
      <c r="G17" s="335"/>
      <c r="H17" s="336"/>
      <c r="I17" s="412"/>
      <c r="J17" s="40"/>
      <c r="K17" s="40"/>
      <c r="L17" s="40"/>
      <c r="M17" s="40"/>
      <c r="N17" s="40"/>
      <c r="O17" s="40"/>
    </row>
    <row r="18" spans="2:15" ht="15" thickBot="1">
      <c r="B18" s="19" t="s">
        <v>28</v>
      </c>
      <c r="C18" s="31"/>
      <c r="D18" s="421"/>
      <c r="E18" s="422"/>
      <c r="F18" s="423">
        <v>0</v>
      </c>
      <c r="G18" s="423">
        <v>0</v>
      </c>
      <c r="H18" s="416"/>
      <c r="I18" s="419"/>
      <c r="J18" s="37"/>
      <c r="K18" s="38"/>
      <c r="L18" s="37"/>
      <c r="M18" s="37"/>
      <c r="N18" s="37"/>
      <c r="O18" s="37"/>
    </row>
    <row r="19" spans="2:15">
      <c r="B19" s="10" t="s">
        <v>27</v>
      </c>
      <c r="C19" s="11"/>
      <c r="D19" s="339">
        <f>+D10+D16</f>
        <v>144</v>
      </c>
      <c r="E19" s="339">
        <f>+E10+E16</f>
        <v>33</v>
      </c>
      <c r="F19" s="328">
        <f>F10+F16+F18</f>
        <v>1959.8661520000001</v>
      </c>
      <c r="G19" s="328">
        <f>G10+G16+G18</f>
        <v>453.88384799999994</v>
      </c>
      <c r="H19" s="324">
        <f>+H10+H16</f>
        <v>6708.0949760000003</v>
      </c>
      <c r="I19" s="324">
        <f>+I10+I16</f>
        <v>1972.3680240000003</v>
      </c>
      <c r="J19" s="37"/>
      <c r="K19" s="38"/>
      <c r="L19" s="37"/>
      <c r="M19" s="37"/>
      <c r="N19" s="37"/>
      <c r="O19" s="37"/>
    </row>
  </sheetData>
  <mergeCells count="7">
    <mergeCell ref="B13:B14"/>
    <mergeCell ref="D4:E4"/>
    <mergeCell ref="F4:G4"/>
    <mergeCell ref="H4:I4"/>
    <mergeCell ref="D6:E6"/>
    <mergeCell ref="F6:G6"/>
    <mergeCell ref="H6:I6"/>
  </mergeCells>
  <pageMargins left="0.25" right="0.25" top="0.75" bottom="0.75" header="0.3" footer="0.3"/>
  <pageSetup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Q22"/>
  <sheetViews>
    <sheetView zoomScaleNormal="100" zoomScaleSheetLayoutView="70" workbookViewId="0">
      <selection activeCell="H12" sqref="H12"/>
    </sheetView>
  </sheetViews>
  <sheetFormatPr defaultRowHeight="14.5"/>
  <cols>
    <col min="1" max="1" width="4.453125" customWidth="1"/>
    <col min="2" max="2" width="14.453125" customWidth="1"/>
    <col min="3" max="3" width="16.1796875" customWidth="1"/>
    <col min="4" max="4" width="18.81640625" customWidth="1"/>
    <col min="5" max="5" width="14.453125" customWidth="1"/>
    <col min="6" max="6" width="17.54296875" customWidth="1"/>
    <col min="7" max="7" width="18.81640625" customWidth="1"/>
    <col min="8" max="10" width="18.54296875" customWidth="1"/>
    <col min="11" max="12" width="21" customWidth="1"/>
    <col min="13" max="14" width="20.54296875" customWidth="1"/>
    <col min="16" max="16" width="21.54296875" customWidth="1"/>
    <col min="17" max="17" width="16.54296875" customWidth="1"/>
  </cols>
  <sheetData>
    <row r="1" spans="1:17" ht="24.5">
      <c r="A1" s="170"/>
      <c r="B1" s="171"/>
      <c r="C1" s="172"/>
      <c r="D1" s="172"/>
      <c r="E1" s="171"/>
      <c r="F1" s="171"/>
      <c r="G1" s="171"/>
      <c r="H1" s="171"/>
      <c r="I1" s="171"/>
      <c r="J1" s="171"/>
      <c r="K1" s="171"/>
      <c r="L1" s="171"/>
      <c r="M1" s="171"/>
      <c r="N1" s="171"/>
      <c r="O1" s="56"/>
      <c r="P1" s="173"/>
    </row>
    <row r="2" spans="1:17" ht="17">
      <c r="A2" s="171"/>
      <c r="B2" s="174" t="s">
        <v>234</v>
      </c>
      <c r="C2" s="175"/>
      <c r="D2" s="175"/>
      <c r="E2" s="171"/>
      <c r="F2" s="171"/>
      <c r="G2" s="171"/>
      <c r="H2" s="171"/>
      <c r="I2" s="171"/>
      <c r="J2" s="171"/>
      <c r="K2" s="171"/>
      <c r="L2" s="171"/>
      <c r="M2" s="171"/>
      <c r="N2" s="171"/>
      <c r="O2" s="56"/>
      <c r="P2" s="173"/>
    </row>
    <row r="3" spans="1:17" ht="17.5" thickBot="1">
      <c r="A3" s="171"/>
      <c r="B3" s="174" t="s">
        <v>294</v>
      </c>
      <c r="C3" s="174"/>
      <c r="D3" s="172"/>
      <c r="E3" s="171"/>
      <c r="F3" s="171"/>
      <c r="G3" s="171"/>
      <c r="H3" s="171"/>
      <c r="I3" s="171"/>
      <c r="J3" s="171"/>
      <c r="K3" s="171"/>
      <c r="L3" s="171"/>
      <c r="M3" s="171"/>
      <c r="N3" s="171"/>
      <c r="O3" s="56"/>
      <c r="P3" s="173"/>
    </row>
    <row r="4" spans="1:17" ht="18.75" customHeight="1">
      <c r="A4" s="171"/>
      <c r="B4" s="568" t="s">
        <v>235</v>
      </c>
      <c r="C4" s="569"/>
      <c r="D4" s="569"/>
      <c r="E4" s="569"/>
      <c r="F4" s="569"/>
      <c r="G4" s="569"/>
      <c r="H4" s="569"/>
      <c r="I4" s="569"/>
      <c r="J4" s="569"/>
      <c r="K4" s="569"/>
      <c r="L4" s="569"/>
      <c r="M4" s="569"/>
      <c r="N4" s="570"/>
      <c r="O4" s="56"/>
      <c r="P4" s="173"/>
    </row>
    <row r="5" spans="1:17" ht="17.5" thickBot="1">
      <c r="A5" s="171"/>
      <c r="B5" s="571"/>
      <c r="C5" s="572"/>
      <c r="D5" s="572"/>
      <c r="E5" s="572"/>
      <c r="F5" s="572"/>
      <c r="G5" s="572"/>
      <c r="H5" s="572"/>
      <c r="I5" s="572"/>
      <c r="J5" s="572"/>
      <c r="K5" s="572"/>
      <c r="L5" s="572"/>
      <c r="M5" s="572"/>
      <c r="N5" s="573"/>
      <c r="O5" s="56"/>
      <c r="P5" s="173"/>
    </row>
    <row r="6" spans="1:17" ht="122.25" customHeight="1">
      <c r="A6" s="176"/>
      <c r="B6" s="177" t="s">
        <v>236</v>
      </c>
      <c r="C6" s="178" t="s">
        <v>237</v>
      </c>
      <c r="D6" s="178" t="s">
        <v>238</v>
      </c>
      <c r="E6" s="178" t="s">
        <v>239</v>
      </c>
      <c r="F6" s="179" t="s">
        <v>240</v>
      </c>
      <c r="G6" s="178" t="s">
        <v>241</v>
      </c>
      <c r="H6" s="180" t="s">
        <v>242</v>
      </c>
      <c r="I6" s="181" t="s">
        <v>243</v>
      </c>
      <c r="J6" s="181" t="s">
        <v>244</v>
      </c>
      <c r="K6" s="181" t="s">
        <v>245</v>
      </c>
      <c r="L6" s="181" t="s">
        <v>246</v>
      </c>
      <c r="M6" s="182" t="s">
        <v>247</v>
      </c>
      <c r="N6" s="183" t="s">
        <v>248</v>
      </c>
      <c r="O6" s="56"/>
      <c r="P6" s="184"/>
    </row>
    <row r="7" spans="1:17" ht="30.75" customHeight="1">
      <c r="A7" s="176"/>
      <c r="B7" s="185"/>
      <c r="C7" s="186"/>
      <c r="D7" s="186"/>
      <c r="E7" s="187" t="s">
        <v>186</v>
      </c>
      <c r="F7" s="187" t="s">
        <v>187</v>
      </c>
      <c r="G7" s="187" t="s">
        <v>249</v>
      </c>
      <c r="H7" s="188" t="s">
        <v>250</v>
      </c>
      <c r="I7" s="188" t="s">
        <v>190</v>
      </c>
      <c r="J7" s="188" t="s">
        <v>251</v>
      </c>
      <c r="K7" s="188" t="s">
        <v>252</v>
      </c>
      <c r="L7" s="188" t="s">
        <v>253</v>
      </c>
      <c r="M7" s="188" t="s">
        <v>254</v>
      </c>
      <c r="N7" s="189" t="s">
        <v>255</v>
      </c>
      <c r="O7" s="56"/>
      <c r="P7" s="184"/>
    </row>
    <row r="8" spans="1:17" ht="17">
      <c r="A8" s="176"/>
      <c r="B8" s="190"/>
      <c r="C8" s="191"/>
      <c r="D8" s="191"/>
      <c r="E8" s="191"/>
      <c r="F8" s="191"/>
      <c r="G8" s="191"/>
      <c r="H8" s="192"/>
      <c r="I8" s="192"/>
      <c r="J8" s="192"/>
      <c r="K8" s="192"/>
      <c r="L8" s="192"/>
      <c r="M8" s="193"/>
      <c r="N8" s="194"/>
      <c r="O8" s="56"/>
      <c r="P8" s="162"/>
    </row>
    <row r="9" spans="1:17" ht="17">
      <c r="A9" s="171"/>
      <c r="B9" s="195" t="s">
        <v>77</v>
      </c>
      <c r="C9" s="196">
        <v>2020</v>
      </c>
      <c r="D9" s="196" t="s">
        <v>307</v>
      </c>
      <c r="E9" s="428">
        <v>1493921</v>
      </c>
      <c r="F9" s="428">
        <v>0</v>
      </c>
      <c r="G9" s="428">
        <f>E9-F9</f>
        <v>1493921</v>
      </c>
      <c r="H9" s="428"/>
      <c r="I9" s="424"/>
      <c r="J9" s="424"/>
      <c r="K9" s="424"/>
      <c r="L9" s="424"/>
      <c r="M9" s="425"/>
      <c r="N9" s="197"/>
      <c r="O9" s="56"/>
      <c r="P9" s="198"/>
      <c r="Q9" s="162"/>
    </row>
    <row r="10" spans="1:17" ht="17">
      <c r="A10" s="171"/>
      <c r="B10" s="199"/>
      <c r="C10" s="196">
        <v>2021</v>
      </c>
      <c r="D10" s="196" t="s">
        <v>308</v>
      </c>
      <c r="E10" s="428">
        <v>1495589</v>
      </c>
      <c r="F10" s="428">
        <v>0</v>
      </c>
      <c r="G10" s="428">
        <f t="shared" ref="G10:G11" si="0">E10-F10</f>
        <v>1495589</v>
      </c>
      <c r="H10" s="428"/>
      <c r="I10" s="424"/>
      <c r="J10" s="424"/>
      <c r="K10" s="424"/>
      <c r="L10" s="424"/>
      <c r="M10" s="425"/>
      <c r="N10" s="197"/>
      <c r="O10" s="56"/>
      <c r="P10" s="198"/>
    </row>
    <row r="11" spans="1:17" ht="17">
      <c r="A11" s="171"/>
      <c r="B11" s="195"/>
      <c r="C11" s="196">
        <v>2022</v>
      </c>
      <c r="D11" s="196" t="s">
        <v>309</v>
      </c>
      <c r="E11" s="428">
        <v>1532334</v>
      </c>
      <c r="F11" s="428">
        <v>0</v>
      </c>
      <c r="G11" s="428">
        <f t="shared" si="0"/>
        <v>1532334</v>
      </c>
      <c r="H11" s="428"/>
      <c r="I11" s="424"/>
      <c r="J11" s="424"/>
      <c r="K11" s="424"/>
      <c r="L11" s="424"/>
      <c r="M11" s="425"/>
      <c r="N11" s="197"/>
      <c r="O11" s="56"/>
      <c r="P11" s="173"/>
    </row>
    <row r="12" spans="1:17" ht="17.5" thickBot="1">
      <c r="A12" s="173"/>
      <c r="B12" s="200"/>
      <c r="C12" s="201" t="s">
        <v>310</v>
      </c>
      <c r="D12" s="201"/>
      <c r="E12" s="429"/>
      <c r="F12" s="429"/>
      <c r="G12" s="429"/>
      <c r="H12" s="429">
        <f>AVERAGE(G9:G11)</f>
        <v>1507281.3333333333</v>
      </c>
      <c r="I12" s="426">
        <v>1.0999999999999999E-2</v>
      </c>
      <c r="J12" s="429">
        <f>I12*H12</f>
        <v>16580.094666666664</v>
      </c>
      <c r="K12" s="426">
        <v>3.5999999999999999E-3</v>
      </c>
      <c r="L12" s="429">
        <f>K12*H12</f>
        <v>5426.2127999999993</v>
      </c>
      <c r="M12" s="427">
        <v>7.4000000000000003E-3</v>
      </c>
      <c r="N12" s="430">
        <f>M12*H12</f>
        <v>11153.881866666667</v>
      </c>
      <c r="O12" s="56"/>
      <c r="P12" s="173"/>
    </row>
    <row r="13" spans="1:17" ht="17">
      <c r="A13" s="171"/>
      <c r="B13" s="202"/>
      <c r="C13" s="203"/>
      <c r="D13" s="203"/>
      <c r="E13" s="204"/>
      <c r="F13" s="205"/>
      <c r="G13" s="205"/>
      <c r="H13" s="206"/>
      <c r="I13" s="206"/>
      <c r="J13" s="206"/>
      <c r="K13" s="206"/>
      <c r="L13" s="206"/>
      <c r="M13" s="205"/>
      <c r="N13" s="207"/>
      <c r="O13" s="56"/>
      <c r="P13" s="173"/>
    </row>
    <row r="14" spans="1:17" ht="17">
      <c r="A14" s="171"/>
      <c r="B14" s="208" t="s">
        <v>256</v>
      </c>
      <c r="C14" s="209"/>
      <c r="D14" s="209"/>
      <c r="E14" s="210"/>
      <c r="F14" s="210"/>
      <c r="G14" s="210"/>
      <c r="H14" s="210"/>
      <c r="I14" s="210"/>
      <c r="J14" s="210"/>
      <c r="K14" s="210"/>
      <c r="L14" s="210"/>
      <c r="M14" s="210"/>
      <c r="N14" s="210"/>
      <c r="O14" s="56"/>
      <c r="P14" s="173"/>
    </row>
    <row r="15" spans="1:17" ht="17">
      <c r="A15" s="171"/>
      <c r="B15" s="211" t="s">
        <v>257</v>
      </c>
      <c r="C15" s="209"/>
      <c r="D15" s="209"/>
      <c r="E15" s="210"/>
      <c r="F15" s="210"/>
      <c r="G15" s="210"/>
      <c r="H15" s="210"/>
      <c r="I15" s="210"/>
      <c r="J15" s="210"/>
      <c r="K15" s="210"/>
      <c r="L15" s="210"/>
      <c r="M15" s="210"/>
      <c r="N15" s="210"/>
      <c r="O15" s="56"/>
      <c r="P15" s="173"/>
    </row>
    <row r="16" spans="1:17" ht="17">
      <c r="A16" s="171"/>
      <c r="B16" s="211" t="s">
        <v>258</v>
      </c>
      <c r="C16" s="209"/>
      <c r="D16" s="209"/>
      <c r="E16" s="210"/>
      <c r="F16" s="210"/>
      <c r="G16" s="210"/>
      <c r="H16" s="210"/>
      <c r="I16" s="210"/>
      <c r="J16" s="210"/>
      <c r="K16" s="210"/>
      <c r="L16" s="210"/>
      <c r="M16" s="210"/>
      <c r="N16" s="210"/>
      <c r="O16" s="56"/>
      <c r="P16" s="173"/>
    </row>
    <row r="17" spans="1:15" ht="17">
      <c r="A17" s="171"/>
      <c r="B17" s="210"/>
      <c r="C17" s="209"/>
      <c r="D17" s="209"/>
      <c r="E17" s="210"/>
      <c r="F17" s="210"/>
      <c r="G17" s="210"/>
      <c r="H17" s="210"/>
      <c r="I17" s="210"/>
      <c r="J17" s="210"/>
      <c r="K17" s="210"/>
      <c r="L17" s="210"/>
      <c r="M17" s="210"/>
      <c r="N17" s="210"/>
      <c r="O17" s="56"/>
    </row>
    <row r="22" spans="1:15">
      <c r="L22" s="273"/>
    </row>
  </sheetData>
  <mergeCells count="1">
    <mergeCell ref="B4:N5"/>
  </mergeCells>
  <pageMargins left="0.6" right="0.21" top="0.77" bottom="0.74" header="0.5" footer="0.5"/>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1" ma:contentTypeDescription="Create a new document." ma:contentTypeScope="" ma:versionID="f20c3d4365552be1c5bd30722e582e5f">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180636fadeb78575c5e826a9f6f2c4e"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39c968e2-ee87-41b9-8fa8-4cd604c6e882"/>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ba291332-5843-45d8-bfc3-9844fb3e26d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168B1C5-7125-4283-89F0-9C4B0598B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Table 1</vt:lpstr>
      <vt:lpstr>Tables 2-6</vt:lpstr>
      <vt:lpstr>Table 7</vt:lpstr>
      <vt:lpstr>Table 8</vt:lpstr>
      <vt:lpstr>Ap A - Participant Def</vt:lpstr>
      <vt:lpstr>Ap B - Qtr Electric Master</vt:lpstr>
      <vt:lpstr> Ap C - Qtr Electric LMI</vt:lpstr>
      <vt:lpstr> Ap D - Qtr Electric Business</vt:lpstr>
      <vt:lpstr>Ap E - NJ CEA Benchmarks</vt:lpstr>
      <vt:lpstr>AP F - Secondary Metrics</vt:lpstr>
      <vt:lpstr>AP G - Transfer</vt:lpstr>
      <vt:lpstr>AP H - CostTest</vt:lpstr>
      <vt:lpstr>AP I - Program Changes</vt:lpstr>
      <vt:lpstr>RECO</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2023-11-17T20:20:08Z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6490586b-6766-439a-826f-fa6da183971c_Enabled">
    <vt:lpwstr>true</vt:lpwstr>
  </property>
  <property fmtid="{D5CDD505-2E9C-101B-9397-08002B2CF9AE}" pid="4" name="MSIP_Label_6490586b-6766-439a-826f-fa6da183971c_SetDate">
    <vt:lpwstr>2021-11-22T15:20:19Z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9a51a7d5-338f-41a9-8334-0000a96aa601</vt:lpwstr>
  </property>
  <property fmtid="{D5CDD505-2E9C-101B-9397-08002B2CF9AE}" pid="9" name="MSIP_Label_6490586b-6766-439a-826f-fa6da183971c_ContentBits">
    <vt:lpwstr>0</vt:lpwstr>
  </property>
</Properties>
</file>