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3 2023/Final Versions/"/>
    </mc:Choice>
  </mc:AlternateContent>
  <bookViews>
    <workbookView xWindow="0" yWindow="0" windowWidth="19160" windowHeight="7010" tabRatio="599" firstSheet="2" activeTab="2"/>
  </bookViews>
  <sheets>
    <sheet name="Table 8" sheetId="38" state="hidden" r:id="rId1"/>
    <sheet name="Ap B - Qtr Electric Master (2)" sheetId="46" state="hidden" r:id="rId2"/>
    <sheet name="Qtr Electric Master" sheetId="27" r:id="rId3"/>
    <sheet name="Qtr Electric LMI" sheetId="29" r:id="rId4"/>
    <sheet name="Qtr Electric Business Class" sheetId="30" r:id="rId5"/>
    <sheet name="AP F - Secondary Metrics" sheetId="41" state="hidden" r:id="rId6"/>
    <sheet name="AP G - Transfer" sheetId="42" state="hidden" r:id="rId7"/>
    <sheet name="AP H - CostTest" sheetId="45" state="hidden" r:id="rId8"/>
    <sheet name="AP I - Program Changes" sheetId="44" state="hidden" r:id="rId9"/>
    <sheet name="Lookup_Sheet" sheetId="32"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B">#REF!</definedName>
    <definedName name="\C">#REF!</definedName>
    <definedName name="\D">#REF!</definedName>
    <definedName name="\E">[1]JobDefinition!#REF!</definedName>
    <definedName name="\M">#REF!</definedName>
    <definedName name="\O">#REF!</definedName>
    <definedName name="\P">#REF!</definedName>
    <definedName name="\Q">#REF!</definedName>
    <definedName name="\R">#REF!</definedName>
    <definedName name="\S">#REF!</definedName>
    <definedName name="\U">#REF!</definedName>
    <definedName name="\V">#REF!</definedName>
    <definedName name="\W">[1]JobDefinition!#REF!</definedName>
    <definedName name="_">'[2]BUD CAP'!$P$33</definedName>
    <definedName name="_________DAT4">#REF!</definedName>
    <definedName name="_______DAT4">#REF!</definedName>
    <definedName name="____DAT4">#REF!</definedName>
    <definedName name="____New2">#REF!</definedName>
    <definedName name="____New3">#REF!</definedName>
    <definedName name="____New4">#REF!</definedName>
    <definedName name="___Key2" hidden="1">#REF!</definedName>
    <definedName name="___New2">#REF!</definedName>
    <definedName name="___New3">#REF!</definedName>
    <definedName name="___New4">#REF!</definedName>
    <definedName name="__123Graph_B" hidden="1">[3]Depreciation!#REF!</definedName>
    <definedName name="__123Graph_C" hidden="1">[3]Depreciation!#REF!</definedName>
    <definedName name="__123Graph_D" hidden="1">[3]Depreciation!#REF!</definedName>
    <definedName name="__123Graph_E" hidden="1">[3]Depreciation!#REF!</definedName>
    <definedName name="__123Graph_F" hidden="1">[3]Depreciation!#REF!</definedName>
    <definedName name="__AAL1">#REF!</definedName>
    <definedName name="__agr8690">[4]Model!$I$58</definedName>
    <definedName name="__agr8790">[4]Model!$I$59</definedName>
    <definedName name="__agr8791">[4]Model!$J$59</definedName>
    <definedName name="__agr8890">[4]Model!$I$60</definedName>
    <definedName name="__agr8891">[4]Model!$J$60</definedName>
    <definedName name="__agr8892">[4]Model!$K$60</definedName>
    <definedName name="__agr8990">[4]Model!$I$61</definedName>
    <definedName name="__agr8991">[4]Model!$J$61</definedName>
    <definedName name="__agr8992">[4]Model!$K$61</definedName>
    <definedName name="__agr8993">[4]Model!$L$61</definedName>
    <definedName name="__agr9091">[4]Model!$J$62</definedName>
    <definedName name="__agr9092">[4]Model!$K$62</definedName>
    <definedName name="__agr9093">[4]Model!$L$62</definedName>
    <definedName name="__agr9094">[4]Model!$M$62</definedName>
    <definedName name="__agr9192">[4]Model!$K$63</definedName>
    <definedName name="__agr9193">[4]Model!$L$63</definedName>
    <definedName name="__agr9194">[4]Model!$M$63</definedName>
    <definedName name="__agr9195">[4]Model!$N$63</definedName>
    <definedName name="__agr9293">[4]Model!$L$64</definedName>
    <definedName name="__agr9294">[4]Model!$M$64</definedName>
    <definedName name="__agr9295">[4]Model!$N$64</definedName>
    <definedName name="__agr9296">[4]Model!$O$64</definedName>
    <definedName name="__agr9394">[4]Model!$M$65</definedName>
    <definedName name="__agr9395">[4]Model!$N$65</definedName>
    <definedName name="__agr9396">[4]Model!$O$65</definedName>
    <definedName name="__agr9397">[4]Model!$P$65</definedName>
    <definedName name="__agr9495">[4]Model!$N$66</definedName>
    <definedName name="__agr9496">[4]Model!$O$66</definedName>
    <definedName name="__agr9497">[4]Model!$P$66</definedName>
    <definedName name="__agr9498">[4]Model!$Q$66</definedName>
    <definedName name="__agr9596">[4]Model!$O$67</definedName>
    <definedName name="__agr9597">[4]Model!$P$67</definedName>
    <definedName name="__agr9598">[4]Model!$Q$67</definedName>
    <definedName name="__agr9697">[4]Model!$P$68</definedName>
    <definedName name="__agr9698">[4]Model!$Q$68</definedName>
    <definedName name="__agr9798">[4]Model!$Q$69</definedName>
    <definedName name="__DAT4">#REF!</definedName>
    <definedName name="__Key2" hidden="1">#REF!</definedName>
    <definedName name="__key7">[5]Sheet2!$AE$1:$AE$24</definedName>
    <definedName name="__mm1">#REF!</definedName>
    <definedName name="__mm10">#REF!</definedName>
    <definedName name="__mm11">#REF!</definedName>
    <definedName name="__mm12">#REF!</definedName>
    <definedName name="__mm13">#REF!</definedName>
    <definedName name="__mm14">#REF!</definedName>
    <definedName name="__mm15">#REF!</definedName>
    <definedName name="__mm16">#REF!</definedName>
    <definedName name="__mm17">#REF!</definedName>
    <definedName name="__mm18">#REF!</definedName>
    <definedName name="__mm19">#REF!</definedName>
    <definedName name="__mm2">#REF!</definedName>
    <definedName name="__mm3">#REF!</definedName>
    <definedName name="__mm4">#REF!</definedName>
    <definedName name="__mm5">#REF!</definedName>
    <definedName name="__mm7">#REF!</definedName>
    <definedName name="__mm8">#REF!</definedName>
    <definedName name="__mm9">#REF!</definedName>
    <definedName name="__New2">#REF!</definedName>
    <definedName name="__New3">#REF!</definedName>
    <definedName name="__New4">#REF!</definedName>
    <definedName name="__pgm5">[5]Sheet2!$AF$1:$AF$3</definedName>
    <definedName name="__qre2">'[6]IDR 15'!$A$1:$H$214</definedName>
    <definedName name="__qre84">'[4]QRE''s'!$D:$D</definedName>
    <definedName name="__qre8490">[4]Model!$I$126</definedName>
    <definedName name="__qre8491">[4]Model!$J$126</definedName>
    <definedName name="__qre8492">[4]Model!$K$126</definedName>
    <definedName name="__qre8493">[4]Model!$L$126</definedName>
    <definedName name="__qre8494">[4]Model!$M$126</definedName>
    <definedName name="__qre8495">[4]Model!$N$126</definedName>
    <definedName name="__qre8496">[4]Model!$O$126</definedName>
    <definedName name="__qre8497">[4]Model!$P$126</definedName>
    <definedName name="__qre8498">[4]Model!$Q$126</definedName>
    <definedName name="__qre85">'[4]QRE''s'!$E:$E</definedName>
    <definedName name="__qre8590">[4]Model!$I$127</definedName>
    <definedName name="__qre8591">[4]Model!$J$127</definedName>
    <definedName name="__qre8592">[4]Model!$K$127</definedName>
    <definedName name="__qre8593">[4]Model!$L$127</definedName>
    <definedName name="__qre8594">[4]Model!$M$127</definedName>
    <definedName name="__qre8595">[4]Model!$N$127</definedName>
    <definedName name="__qre8596">[4]Model!$O$127</definedName>
    <definedName name="__qre8597">[4]Model!$P$127</definedName>
    <definedName name="__qre8598">[4]Model!$Q$127</definedName>
    <definedName name="__qre86">'[4]QRE''s'!$F:$F</definedName>
    <definedName name="__qre8690">[4]Model!$I$128</definedName>
    <definedName name="__qre8691">[4]Model!$J$128</definedName>
    <definedName name="__qre8692">[4]Model!$K$128</definedName>
    <definedName name="__qre8693">[4]Model!$L$128</definedName>
    <definedName name="__qre8694">[4]Model!$M$128</definedName>
    <definedName name="__qre8695">[4]Model!$N$128</definedName>
    <definedName name="__qre8696">[4]Model!$O$128</definedName>
    <definedName name="__qre8697">[4]Model!$P$128</definedName>
    <definedName name="__qre8698">[4]Model!$Q$128</definedName>
    <definedName name="__qre87">'[4]QRE''s'!$G:$G</definedName>
    <definedName name="__qre8790">[4]Model!$I$129</definedName>
    <definedName name="__qre8791">[4]Model!$J$129</definedName>
    <definedName name="__qre8792">[4]Model!$K$129</definedName>
    <definedName name="__qre8793">[4]Model!$L$129</definedName>
    <definedName name="__qre8794">[4]Model!$M$129</definedName>
    <definedName name="__qre8795">[4]Model!$N$129</definedName>
    <definedName name="__qre8796">[4]Model!$O$129</definedName>
    <definedName name="__qre8797">[4]Model!$P$129</definedName>
    <definedName name="__qre8798">[4]Model!$Q$129</definedName>
    <definedName name="__qre88">'[4]QRE''s'!$H:$H</definedName>
    <definedName name="__qre8890">[4]Model!$I$130</definedName>
    <definedName name="__qre8891">[4]Model!$J$130</definedName>
    <definedName name="__qre8892">[4]Model!$K$130</definedName>
    <definedName name="__qre8893">[4]Model!$L$130</definedName>
    <definedName name="__qre8894">[4]Model!$M$130</definedName>
    <definedName name="__qre8895">[4]Model!$N$130</definedName>
    <definedName name="__qre8896">[4]Model!$O$130</definedName>
    <definedName name="__qre8897">[4]Model!$P$130</definedName>
    <definedName name="__qre8898">[4]Model!$Q$130</definedName>
    <definedName name="__qre89">'[4]QRE''s'!$I:$I</definedName>
    <definedName name="__qre90">'[4]QRE''s'!$J:$J</definedName>
    <definedName name="__qre91">'[4]QRE''s'!$K:$K</definedName>
    <definedName name="__qre92">'[4]QRE''s'!$L:$L</definedName>
    <definedName name="__qre93">'[4]QRE''s'!$M:$M</definedName>
    <definedName name="__qre94">'[4]QRE''s'!$N:$N</definedName>
    <definedName name="__qre95">'[4]QRE''s'!$O:$O</definedName>
    <definedName name="__qre96">'[4]QRE''s'!$P:$P</definedName>
    <definedName name="__qre97">'[4]QRE''s'!$Q:$Q</definedName>
    <definedName name="__qre98">'[4]QRE''s'!$R:$R</definedName>
    <definedName name="__reg4">[5]Sheet2!$AF$1:$AF$3</definedName>
    <definedName name="__ryr56565" hidden="1">{#N/A,#N/A,FALSE,"Monthly SAIFI";#N/A,#N/A,FALSE,"Yearly SAIFI";#N/A,#N/A,FALSE,"Monthly CAIDI";#N/A,#N/A,FALSE,"Yearly CAIDI";#N/A,#N/A,FALSE,"Monthly SAIDI";#N/A,#N/A,FALSE,"Yearly SAIDI";#N/A,#N/A,FALSE,"Monthly MAIFI";#N/A,#N/A,FALSE,"Yearly MAIFI";#N/A,#N/A,FALSE,"Monthly Cust &gt;=4 Int"}</definedName>
    <definedName name="__tqc90">'[4]QRE''s'!$J$101</definedName>
    <definedName name="__tqc91">'[4]QRE''s'!$K$101</definedName>
    <definedName name="__tqc92">'[4]QRE''s'!$L$101</definedName>
    <definedName name="__tqc93">'[4]QRE''s'!$M$101</definedName>
    <definedName name="__tqc94">'[4]QRE''s'!$N$101</definedName>
    <definedName name="__tqc95">'[4]QRE''s'!$O$101</definedName>
    <definedName name="__tqc96">'[4]QRE''s'!$P$101</definedName>
    <definedName name="__tqc97">'[4]QRE''s'!$Q$101</definedName>
    <definedName name="__tqc98">'[4]QRE''s'!$R$101</definedName>
    <definedName name="__tql90">'[4]QRE''s'!$J$99</definedName>
    <definedName name="__tql91">'[4]QRE''s'!$K$99</definedName>
    <definedName name="__tql92">'[4]QRE''s'!$L$99</definedName>
    <definedName name="__tql93">'[4]QRE''s'!$M$99</definedName>
    <definedName name="__tql94">'[4]QRE''s'!$N$99</definedName>
    <definedName name="__tql95">'[4]QRE''s'!$O$99</definedName>
    <definedName name="__tql96">'[4]QRE''s'!$P$99</definedName>
    <definedName name="__tql97">'[4]QRE''s'!$Q$99</definedName>
    <definedName name="__tql98">'[4]QRE''s'!$R$99</definedName>
    <definedName name="__tqs90">'[4]QRE''s'!$J$100</definedName>
    <definedName name="__tqs91">'[4]QRE''s'!$K$100</definedName>
    <definedName name="__tqs92">'[4]QRE''s'!$L$100</definedName>
    <definedName name="__tqs93">'[4]QRE''s'!$M$100</definedName>
    <definedName name="__tqs94">'[4]QRE''s'!$N$100</definedName>
    <definedName name="__tqs95">'[4]QRE''s'!$O$100</definedName>
    <definedName name="__tqs96">'[4]QRE''s'!$P$100</definedName>
    <definedName name="__tqs97">'[4]QRE''s'!$Q$100</definedName>
    <definedName name="__tqs98">'[4]QRE''s'!$R$100</definedName>
    <definedName name="__zc22">#REF!</definedName>
    <definedName name="_1__123Graph_ACONTRACT_BY_B_U" hidden="1">'[4]QRE Charts'!$D$275:$Q$275</definedName>
    <definedName name="_10__123Graph_BQRE_S_BY_TYPE" hidden="1">'[4]QRE''s'!$D$100:$R$100</definedName>
    <definedName name="_11__123Graph_BSENS_COMPARISON" hidden="1">'[4]QRE Charts'!$E$366:$O$366</definedName>
    <definedName name="_12__123Graph_BSUPPLIES_BY_B_U" hidden="1">'[4]QRE Charts'!$D$250:$Q$250</definedName>
    <definedName name="_13__123Graph_BTAX_CREDIT" hidden="1">'[4]QRE Charts'!$E$332:$E$342</definedName>
    <definedName name="_14__123Graph_BWAGES_BY_B_U" hidden="1">'[4]QRE Charts'!$D$224:$R$224</definedName>
    <definedName name="_15__123Graph_CCONTRACT_BY_B_U" hidden="1">'[4]QRE Charts'!$D$277:$Q$277</definedName>
    <definedName name="_16__123Graph_CQRE_S_BY_CO." hidden="1">'[4]QRE Charts'!$D$303:$R$303</definedName>
    <definedName name="_17__123Graph_CQRE_S_BY_TYPE" hidden="1">'[4]QRE''s'!$D$101:$R$101</definedName>
    <definedName name="_18__123Graph_CSENS_COMPARISON" hidden="1">'[4]QRE Charts'!$E$367:$O$367</definedName>
    <definedName name="_19__123Graph_CSUPPLIES_BY_B_U" hidden="1">'[4]QRE Charts'!$D$251:$Q$251</definedName>
    <definedName name="_2__123Graph_AQRE_S_BY_CO." hidden="1">'[4]QRE Charts'!$D$301:$R$301</definedName>
    <definedName name="_20__123Graph_CWAGES_BY_B_U" hidden="1">'[4]QRE Charts'!$D$225:$R$225</definedName>
    <definedName name="_20_MWS">#REF!</definedName>
    <definedName name="_21__123Graph_DCONTRACT_BY_B_U" hidden="1">'[4]QRE Charts'!$D$278:$Q$278</definedName>
    <definedName name="_21_MWS">#REF!</definedName>
    <definedName name="_22__123Graph_DQRE_S_BY_CO." hidden="1">'[4]QRE Charts'!$D$304:$R$304</definedName>
    <definedName name="_23__123Graph_DSUPPLIES_BY_B_U" hidden="1">'[4]QRE Charts'!$D$252:$Q$252</definedName>
    <definedName name="_23_MWS">#REF!</definedName>
    <definedName name="_24__123Graph_DWAGES_BY_B_U" hidden="1">'[4]QRE Charts'!$D$226:$R$226</definedName>
    <definedName name="_24_MWS">#REF!</definedName>
    <definedName name="_25__123Graph_ECONTRACT_BY_B_U" hidden="1">'[4]QRE Charts'!$D$279:$Q$279</definedName>
    <definedName name="_26__123Graph_EQRE_S_BY_CO." hidden="1">'[4]QRE Charts'!$D$305:$R$305</definedName>
    <definedName name="_27__123Graph_ESUPPLIES_BY_B_U" hidden="1">'[4]QRE Charts'!$D$253:$Q$253</definedName>
    <definedName name="_28__123Graph_EWAGES_BY_B_U" hidden="1">'[4]QRE Charts'!$D$227:$R$227</definedName>
    <definedName name="_29__123Graph_FCONTRACT_BY_B_U" hidden="1">'[4]QRE Charts'!$D$280:$Q$280</definedName>
    <definedName name="_3__123Graph_AQRE_S_BY_TYPE" hidden="1">'[4]QRE''s'!$D$99:$R$99</definedName>
    <definedName name="_30__123Graph_FQRE_S_BY_CO." hidden="1">'[4]QRE Charts'!$D$306:$R$306</definedName>
    <definedName name="_31__123Graph_FSUPPLIES_BY_B_U" hidden="1">'[4]QRE Charts'!$D$254:$Q$254</definedName>
    <definedName name="_32__123Graph_FWAGES_BY_B_U" hidden="1">'[4]QRE Charts'!$D$228:$R$228</definedName>
    <definedName name="_33__123Graph_XCONTRACT_BY_B_U" hidden="1">'[4]QRE Charts'!$D$222:$R$222</definedName>
    <definedName name="_34__123Graph_XQRE_S_BY_CO." hidden="1">'[4]QRE Charts'!$D$222:$R$222</definedName>
    <definedName name="_35__123Graph_XQRE_S_BY_TYPE" hidden="1">'[4]QRE Charts'!$D$222:$R$222</definedName>
    <definedName name="_35_MWS">#REF!</definedName>
    <definedName name="_36__123Graph_XSUPPLIES_BY_B_U" hidden="1">'[4]QRE Charts'!$D$222:$R$222</definedName>
    <definedName name="_37__123Graph_XTAX_CREDIT" hidden="1">'[4]QRE Charts'!$C$332:$C$342</definedName>
    <definedName name="_38_0_0_K" hidden="1">#REF!</definedName>
    <definedName name="_39_0_0_S" hidden="1">#REF!</definedName>
    <definedName name="_4__123Graph_ASENS_COMPARISON" hidden="1">'[4]QRE Charts'!$E$365:$O$365</definedName>
    <definedName name="_40_MWS">#REF!</definedName>
    <definedName name="_44_0_0_K" hidden="1">#REF!</definedName>
    <definedName name="_45_0_0_K" hidden="1">[7]Masterdata!#REF!</definedName>
    <definedName name="_45_MWS">#REF!</definedName>
    <definedName name="_5__123Graph_ASUPPLIES_BY_B_U" hidden="1">'[4]QRE Charts'!$D$249:$Q$249</definedName>
    <definedName name="_50_MWS">#REF!</definedName>
    <definedName name="_52_0_0_S" hidden="1">#REF!</definedName>
    <definedName name="_53_0_0_S" hidden="1">[7]Masterdata!#REF!</definedName>
    <definedName name="_55_MWS">#REF!</definedName>
    <definedName name="_6__123Graph_ATAX_CREDIT" hidden="1">'[4]QRE Charts'!$D$332:$D$342</definedName>
    <definedName name="_7__123Graph_AWAGES_BY_B_U" hidden="1">'[4]QRE Charts'!$D$223:$R$223</definedName>
    <definedName name="_8__123Graph_BCONTRACT_BY_B_U" hidden="1">'[4]QRE Charts'!$D$276:$Q$276</definedName>
    <definedName name="_84_PHASE1">[4]Comparison!$E$9:$E$165</definedName>
    <definedName name="_85_PHASE1">[4]Comparison!$I$9:$I$165</definedName>
    <definedName name="_86_PHASE1">[4]Comparison!$M$9:$M$165</definedName>
    <definedName name="_87_PHASE1">[4]Comparison!$Q$9:$Q$165</definedName>
    <definedName name="_88_PHASE1">[4]Comparison!$U$9:$U$165</definedName>
    <definedName name="_89_PHASE1">[4]Comparison!$AD$9:$AD$165</definedName>
    <definedName name="_9__123Graph_BQRE_S_BY_CO." hidden="1">'[4]QRE Charts'!$D$302:$R$302</definedName>
    <definedName name="_90_PHASE1">[4]Comparison!$AH$9:$AH$165</definedName>
    <definedName name="_91_PHASE1">[4]Comparison!$AL$9:$AL$165</definedName>
    <definedName name="_92_PHASE1">[4]Comparison!$AP$9:$AP$165</definedName>
    <definedName name="_93_PHASE1">[4]Comparison!$AT$9:$AT$165</definedName>
    <definedName name="_94_PHASE1">[4]Comparison!$AX$9:$AX$165</definedName>
    <definedName name="_95_PHASE1">[4]Comparison!$BB$9:$BB$165</definedName>
    <definedName name="_96_PHASE1">[4]Comparison!$BF$9:$BF$165</definedName>
    <definedName name="_97_PHASE1">[4]Comparison!$BJ$9:$BJ$165</definedName>
    <definedName name="_98_PHASE1">[4]Comparison!$BN$9:$BN$165</definedName>
    <definedName name="_AAL1">#REF!</definedName>
    <definedName name="_agr8690">[4]Model!$I$58</definedName>
    <definedName name="_agr8790">[4]Model!$I$59</definedName>
    <definedName name="_agr8791">[4]Model!$J$59</definedName>
    <definedName name="_agr8890">[4]Model!$I$60</definedName>
    <definedName name="_agr8891">[4]Model!$J$60</definedName>
    <definedName name="_agr8892">[4]Model!$K$60</definedName>
    <definedName name="_agr8990">[4]Model!$I$61</definedName>
    <definedName name="_agr8991">[4]Model!$J$61</definedName>
    <definedName name="_agr8992">[4]Model!$K$61</definedName>
    <definedName name="_agr8993">[4]Model!$L$61</definedName>
    <definedName name="_agr9091">[4]Model!$J$62</definedName>
    <definedName name="_agr9092">[4]Model!$K$62</definedName>
    <definedName name="_agr9093">[4]Model!$L$62</definedName>
    <definedName name="_agr9094">[4]Model!$M$62</definedName>
    <definedName name="_agr9192">[4]Model!$K$63</definedName>
    <definedName name="_agr9193">[4]Model!$L$63</definedName>
    <definedName name="_agr9194">[4]Model!$M$63</definedName>
    <definedName name="_agr9195">[4]Model!$N$63</definedName>
    <definedName name="_agr9293">[4]Model!$L$64</definedName>
    <definedName name="_agr9294">[4]Model!$M$64</definedName>
    <definedName name="_agr9295">[4]Model!$N$64</definedName>
    <definedName name="_agr9296">[4]Model!$O$64</definedName>
    <definedName name="_agr9394">[4]Model!$M$65</definedName>
    <definedName name="_agr9395">[4]Model!$N$65</definedName>
    <definedName name="_agr9396">[4]Model!$O$65</definedName>
    <definedName name="_agr9397">[4]Model!$P$65</definedName>
    <definedName name="_agr9495">[4]Model!$N$66</definedName>
    <definedName name="_agr9496">[4]Model!$O$66</definedName>
    <definedName name="_agr9497">[4]Model!$P$66</definedName>
    <definedName name="_agr9498">[4]Model!$Q$66</definedName>
    <definedName name="_agr9596">[4]Model!$O$67</definedName>
    <definedName name="_agr9597">[4]Model!$P$67</definedName>
    <definedName name="_agr9598">[4]Model!$Q$67</definedName>
    <definedName name="_agr9697">[4]Model!$P$68</definedName>
    <definedName name="_agr9698">[4]Model!$Q$68</definedName>
    <definedName name="_agr9798">[4]Model!$Q$69</definedName>
    <definedName name="_ALT_PPONU_D__Q">#REF!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Fill" hidden="1">#REF!</definedName>
    <definedName name="_Fill09" hidden="1">#REF!</definedName>
    <definedName name="_Fill2009" hidden="1">#REF!</definedName>
    <definedName name="_Key1" hidden="1">#REF!</definedName>
    <definedName name="_Key2" hidden="1">#REF!</definedName>
    <definedName name="_key7">[5]Sheet2!$AE$1:$AE$24</definedName>
    <definedName name="_mm1">#REF!</definedName>
    <definedName name="_mm10">#REF!</definedName>
    <definedName name="_mm11">#REF!</definedName>
    <definedName name="_mm12">#REF!</definedName>
    <definedName name="_mm13">#REF!</definedName>
    <definedName name="_mm14">#REF!</definedName>
    <definedName name="_mm15">#REF!</definedName>
    <definedName name="_mm16">#REF!</definedName>
    <definedName name="_mm17">#REF!</definedName>
    <definedName name="_mm18">#REF!</definedName>
    <definedName name="_mm19">#REF!</definedName>
    <definedName name="_mm2">#REF!</definedName>
    <definedName name="_mm3">#REF!</definedName>
    <definedName name="_mm4">#REF!</definedName>
    <definedName name="_mm5">#REF!</definedName>
    <definedName name="_mm7">#REF!</definedName>
    <definedName name="_mm8">#REF!</definedName>
    <definedName name="_mm9">#REF!</definedName>
    <definedName name="_New2">#REF!</definedName>
    <definedName name="_New3">#REF!</definedName>
    <definedName name="_New4">#REF!</definedName>
    <definedName name="_Order1" hidden="1">0</definedName>
    <definedName name="_Order2" hidden="1">255</definedName>
    <definedName name="_pgm5">[5]Sheet2!$AF$1:$AF$3</definedName>
    <definedName name="_qre2">'[6]IDR 15'!$A$1:$H$214</definedName>
    <definedName name="_qre84">'[4]QRE''s'!$D$1:$D$65536</definedName>
    <definedName name="_qre8490">[4]Model!$I$126</definedName>
    <definedName name="_qre8491">[4]Model!$J$126</definedName>
    <definedName name="_qre8492">[4]Model!$K$126</definedName>
    <definedName name="_qre8493">[4]Model!$L$126</definedName>
    <definedName name="_qre8494">[4]Model!$M$126</definedName>
    <definedName name="_qre8495">[4]Model!$N$126</definedName>
    <definedName name="_qre8496">[4]Model!$O$126</definedName>
    <definedName name="_qre8497">[4]Model!$P$126</definedName>
    <definedName name="_qre8498">[4]Model!$Q$126</definedName>
    <definedName name="_qre85">'[4]QRE''s'!$E$1:$E$65536</definedName>
    <definedName name="_qre8590">[4]Model!$I$127</definedName>
    <definedName name="_qre8591">[4]Model!$J$127</definedName>
    <definedName name="_qre8592">[4]Model!$K$127</definedName>
    <definedName name="_qre8593">[4]Model!$L$127</definedName>
    <definedName name="_qre8594">[4]Model!$M$127</definedName>
    <definedName name="_qre8595">[4]Model!$N$127</definedName>
    <definedName name="_qre8596">[4]Model!$O$127</definedName>
    <definedName name="_qre8597">[4]Model!$P$127</definedName>
    <definedName name="_qre8598">[4]Model!$Q$127</definedName>
    <definedName name="_qre86">'[4]QRE''s'!$F$1:$F$65536</definedName>
    <definedName name="_qre8690">[4]Model!$I$128</definedName>
    <definedName name="_qre8691">[4]Model!$J$128</definedName>
    <definedName name="_qre8692">[4]Model!$K$128</definedName>
    <definedName name="_qre8693">[4]Model!$L$128</definedName>
    <definedName name="_qre8694">[4]Model!$M$128</definedName>
    <definedName name="_qre8695">[4]Model!$N$128</definedName>
    <definedName name="_qre8696">[4]Model!$O$128</definedName>
    <definedName name="_qre8697">[4]Model!$P$128</definedName>
    <definedName name="_qre8698">[4]Model!$Q$128</definedName>
    <definedName name="_qre87">'[4]QRE''s'!$G$1:$G$65536</definedName>
    <definedName name="_qre8790">[4]Model!$I$129</definedName>
    <definedName name="_qre8791">[4]Model!$J$129</definedName>
    <definedName name="_qre8792">[4]Model!$K$129</definedName>
    <definedName name="_qre8793">[4]Model!$L$129</definedName>
    <definedName name="_qre8794">[4]Model!$M$129</definedName>
    <definedName name="_qre8795">[4]Model!$N$129</definedName>
    <definedName name="_qre8796">[4]Model!$O$129</definedName>
    <definedName name="_qre8797">[4]Model!$P$129</definedName>
    <definedName name="_qre8798">[4]Model!$Q$129</definedName>
    <definedName name="_qre88">'[4]QRE''s'!$H$1:$H$65536</definedName>
    <definedName name="_qre8890">[4]Model!$I$130</definedName>
    <definedName name="_qre8891">[4]Model!$J$130</definedName>
    <definedName name="_qre8892">[4]Model!$K$130</definedName>
    <definedName name="_qre8893">[4]Model!$L$130</definedName>
    <definedName name="_qre8894">[4]Model!$M$130</definedName>
    <definedName name="_qre8895">[4]Model!$N$130</definedName>
    <definedName name="_qre8896">[4]Model!$O$130</definedName>
    <definedName name="_qre8897">[4]Model!$P$130</definedName>
    <definedName name="_qre8898">[4]Model!$Q$130</definedName>
    <definedName name="_qre89">'[4]QRE''s'!$I$1:$I$65536</definedName>
    <definedName name="_qre90">'[4]QRE''s'!$J$1:$J$65536</definedName>
    <definedName name="_qre91">'[4]QRE''s'!$K$1:$K$65536</definedName>
    <definedName name="_qre92">'[4]QRE''s'!$L$1:$L$65536</definedName>
    <definedName name="_qre93">'[4]QRE''s'!$M$1:$M$65536</definedName>
    <definedName name="_qre94">'[4]QRE''s'!$N$1:$N$65536</definedName>
    <definedName name="_qre95">'[4]QRE''s'!$O$1:$O$65536</definedName>
    <definedName name="_qre96">'[4]QRE''s'!$P$1:$P$65536</definedName>
    <definedName name="_qre97">'[4]QRE''s'!$Q$1:$Q$65536</definedName>
    <definedName name="_qre98">'[4]QRE''s'!$R$1:$R$65536</definedName>
    <definedName name="_reg4">[5]Sheet2!$AF$1:$AF$3</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hidden="1">#REF!</definedName>
    <definedName name="_tqc90">'[4]QRE''s'!$J$101</definedName>
    <definedName name="_tqc91">'[4]QRE''s'!$K$101</definedName>
    <definedName name="_tqc92">'[4]QRE''s'!$L$101</definedName>
    <definedName name="_tqc93">'[4]QRE''s'!$M$101</definedName>
    <definedName name="_tqc94">'[4]QRE''s'!$N$101</definedName>
    <definedName name="_tqc95">'[4]QRE''s'!$O$101</definedName>
    <definedName name="_tqc96">'[4]QRE''s'!$P$101</definedName>
    <definedName name="_tqc97">'[4]QRE''s'!$Q$101</definedName>
    <definedName name="_tqc98">'[4]QRE''s'!$R$101</definedName>
    <definedName name="_tql90">'[4]QRE''s'!$J$99</definedName>
    <definedName name="_tql91">'[4]QRE''s'!$K$99</definedName>
    <definedName name="_tql92">'[4]QRE''s'!$L$99</definedName>
    <definedName name="_tql93">'[4]QRE''s'!$M$99</definedName>
    <definedName name="_tql94">'[4]QRE''s'!$N$99</definedName>
    <definedName name="_tql95">'[4]QRE''s'!$O$99</definedName>
    <definedName name="_tql96">'[4]QRE''s'!$P$99</definedName>
    <definedName name="_tql97">'[4]QRE''s'!$Q$99</definedName>
    <definedName name="_tql98">'[4]QRE''s'!$R$99</definedName>
    <definedName name="_tqs90">'[4]QRE''s'!$J$100</definedName>
    <definedName name="_tqs91">'[4]QRE''s'!$K$100</definedName>
    <definedName name="_tqs92">'[4]QRE''s'!$L$100</definedName>
    <definedName name="_tqs93">'[4]QRE''s'!$M$100</definedName>
    <definedName name="_tqs94">'[4]QRE''s'!$N$100</definedName>
    <definedName name="_tqs95">'[4]QRE''s'!$O$100</definedName>
    <definedName name="_tqs96">'[4]QRE''s'!$P$100</definedName>
    <definedName name="_tqs97">'[4]QRE''s'!$Q$100</definedName>
    <definedName name="_tqs98">'[4]QRE''s'!$R$100</definedName>
    <definedName name="_WORLDOX">#REF!</definedName>
    <definedName name="a" hidden="1">{#N/A,#N/A,FALSE,"Monthly SAIFI";#N/A,#N/A,FALSE,"Yearly SAIFI";#N/A,#N/A,FALSE,"Monthly CAIDI";#N/A,#N/A,FALSE,"Yearly CAIDI";#N/A,#N/A,FALSE,"Monthly SAIDI";#N/A,#N/A,FALSE,"Yearly SAIDI";#N/A,#N/A,FALSE,"Monthly MAIFI";#N/A,#N/A,FALSE,"Yearly MAIFI";#N/A,#N/A,FALSE,"Monthly Cust &gt;=4 Int"}</definedName>
    <definedName name="aa" hidden="1">{#N/A,#N/A,FALSE,"Monthly SAIFI";#N/A,#N/A,FALSE,"Yearly SAIFI";#N/A,#N/A,FALSE,"Monthly CAIDI";#N/A,#N/A,FALSE,"Yearly CAIDI";#N/A,#N/A,FALSE,"Monthly SAIDI";#N/A,#N/A,FALSE,"Yearly SAIDI";#N/A,#N/A,FALSE,"Monthly MAIFI";#N/A,#N/A,FALSE,"Yearly MAIFI";#N/A,#N/A,FALSE,"Monthly Cust &gt;=4 Int"}</definedName>
    <definedName name="AAL">#REF!</definedName>
    <definedName name="AALDR">#REF!</definedName>
    <definedName name="AALSAP">#REF!</definedName>
    <definedName name="aashitii">'[8]2005 CapEx (By VP By Dept) Budg'!$A$3:$P$431</definedName>
    <definedName name="ac" hidden="1">{#N/A,#N/A,FALSE,"Monthly SAIFI";#N/A,#N/A,FALSE,"Yearly SAIFI";#N/A,#N/A,FALSE,"Monthly CAIDI";#N/A,#N/A,FALSE,"Yearly CAIDI";#N/A,#N/A,FALSE,"Monthly SAIDI";#N/A,#N/A,FALSE,"Yearly SAIDI";#N/A,#N/A,FALSE,"Monthly MAIFI";#N/A,#N/A,FALSE,"Yearly MAIFI";#N/A,#N/A,FALSE,"Monthly Cust &gt;=4 Int"}</definedName>
    <definedName name="ACCTG_SERV">#REF!</definedName>
    <definedName name="ACTUAL_YTD">[9]Administrator!$L$60</definedName>
    <definedName name="acx"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IP" hidden="1">{#N/A,#N/A,FALSE,"Monthly SAIFI";#N/A,#N/A,FALSE,"Yearly SAIFI";#N/A,#N/A,FALSE,"Monthly CAIDI";#N/A,#N/A,FALSE,"Yearly CAIDI";#N/A,#N/A,FALSE,"Monthly SAIDI";#N/A,#N/A,FALSE,"Yearly SAIDI";#N/A,#N/A,FALSE,"Monthly MAIFI";#N/A,#N/A,FALSE,"Yearly MAIFI";#N/A,#N/A,FALSE,"Monthly Cust &gt;=4 Int"}</definedName>
    <definedName name="aircgrtm1">[4]AIRC!#REF!</definedName>
    <definedName name="aircgrtm2">[4]AIRC!#REF!</definedName>
    <definedName name="aircgrtm3">[4]AIRC!#REF!</definedName>
    <definedName name="aircgrtm4">[4]AIRC!#REF!</definedName>
    <definedName name="aircqre">[4]AIRC!$C$15</definedName>
    <definedName name="aircqrelabel">[4]AIRC!$B$15</definedName>
    <definedName name="airctitle">[4]AIRC!$A$1</definedName>
    <definedName name="airctm1">[4]AIRC!#REF!</definedName>
    <definedName name="airctm2">[4]AIRC!#REF!</definedName>
    <definedName name="airctm3">[4]AIRC!#REF!</definedName>
    <definedName name="airctm4">[4]AIRC!#REF!</definedName>
    <definedName name="ALERT1">#REF!</definedName>
    <definedName name="ALERT2">#REF!</definedName>
    <definedName name="ALERT3">#REF!</definedName>
    <definedName name="ALL_QRES">[4]Sens_QRE_Factor!$D$8:$R$98</definedName>
    <definedName name="ALL_QRES0.75">'[4]QRE Charts'!$E$365</definedName>
    <definedName name="ALL_QRES0.80">'[4]QRE Charts'!$F$365</definedName>
    <definedName name="ALL_QRES0.85">'[4]QRE Charts'!$G$365</definedName>
    <definedName name="ALL_QRES0.90">'[4]QRE Charts'!$H$365</definedName>
    <definedName name="ALL_QRES0.95">'[4]QRE Charts'!$I$365</definedName>
    <definedName name="ALL_QRES1.00">'[4]QRE Charts'!$J$365</definedName>
    <definedName name="ALL_QRES1.05">'[4]QRE Charts'!$K$365</definedName>
    <definedName name="ALL_QRES1.10">'[4]QRE Charts'!$L$365</definedName>
    <definedName name="ALL_QRES1.15">'[4]QRE Charts'!$M$365</definedName>
    <definedName name="ALL_QRES1.20">'[4]QRE Charts'!$N$365</definedName>
    <definedName name="ALL_QRES1.25">'[4]QRE Charts'!$O$365</definedName>
    <definedName name="ALL_SENS_FACT">#REF!</definedName>
    <definedName name="ALLYRS_MESSAGE">#REF!</definedName>
    <definedName name="alsdfa" hidden="1">{#N/A,#N/A,FALSE,"Monthly SAIFI";#N/A,#N/A,FALSE,"Yearly SAIFI";#N/A,#N/A,FALSE,"Monthly CAIDI";#N/A,#N/A,FALSE,"Yearly CAIDI";#N/A,#N/A,FALSE,"Monthly SAIDI";#N/A,#N/A,FALSE,"Yearly SAIDI";#N/A,#N/A,FALSE,"Monthly MAIFI";#N/A,#N/A,FALSE,"Yearly MAIFI";#N/A,#N/A,FALSE,"Monthly Cust &gt;=4 Int"}</definedName>
    <definedName name="anish">#REF!</definedName>
    <definedName name="anish21212">#REF!</definedName>
    <definedName name="anisha2157">'[8]2005 CapEx (By VP By Dept) Budg'!$A$3:$P$431</definedName>
    <definedName name="anisha216">'[8]2005 CapEx (By VP By Dept) Budg'!$A$3:$P$431</definedName>
    <definedName name="anishhh">'[8]2005 CapEx (By VP By Dept) Budg'!$A$3:$P$431</definedName>
    <definedName name="anishilov">'[8]2005 CapEx (By VP By Dept) Budg'!$A$3:$P$431</definedName>
    <definedName name="anscount" hidden="1">1</definedName>
    <definedName name="APA">'[10]PECO Bal Sht'!#REF!</definedName>
    <definedName name="Apr">#REF!</definedName>
    <definedName name="apr2pre">#REF!</definedName>
    <definedName name="April">#REF!</definedName>
    <definedName name="APV">#REF!</definedName>
    <definedName name="Area">'[11]all EED O&amp;M BO data'!$W$2:$W$5000</definedName>
    <definedName name="as">'[8]2005 CapEx (By VP By Dept) Budg'!$A$3:$P$395</definedName>
    <definedName name="AS2DocOpenMode" hidden="1">"AS2DocumentEdit"</definedName>
    <definedName name="asasasas">'[8]2005 CapEx (By VP By Dept) Budg'!$A$3:$P$431</definedName>
    <definedName name="ASD">'[10]PECO Bal Sht'!#REF!</definedName>
    <definedName name="asdada">#REF!</definedName>
    <definedName name="asdasd">'[8]2005 CapEx (By VP By Dept) Budg'!$A$3:$P$431</definedName>
    <definedName name="asdasda">#REF!</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dfasfasf">#REF!</definedName>
    <definedName name="asdfsd">#REF!</definedName>
    <definedName name="asdfsdf">'[8]2005 CapEx (By VP By Dept) Budg'!$A$3:$P$431</definedName>
    <definedName name="asdfsdfsadfs">'[8]2005 CapEx (By VP By Dept) Budg'!$A$3:$P$431</definedName>
    <definedName name="asfas">#REF!</definedName>
    <definedName name="asfasdfasfasfsadf">#REF!</definedName>
    <definedName name="asfsdfsdfsdfsfwer">#REF!</definedName>
    <definedName name="asfsdfsfs">#REF!</definedName>
    <definedName name="asfsft">#REF!</definedName>
    <definedName name="asgdfsjgfdk1">'[8]2005 CapEx (By VP By Dept) Budg'!$A$3:$P$431</definedName>
    <definedName name="ashaita" hidden="1">{#N/A,#N/A,FALSE,"Monthly SAIFI";#N/A,#N/A,FALSE,"Yearly SAIFI";#N/A,#N/A,FALSE,"Monthly CAIDI";#N/A,#N/A,FALSE,"Yearly CAIDI";#N/A,#N/A,FALSE,"Monthly SAIDI";#N/A,#N/A,FALSE,"Yearly SAIDI";#N/A,#N/A,FALSE,"Monthly MAIFI";#N/A,#N/A,FALSE,"Yearly MAIFI";#N/A,#N/A,FALSE,"Monthly Cust &gt;=4 Int"}</definedName>
    <definedName name="ashhhjjjjjj">'[8]2005 CapEx (By VP By Dept) Budg'!$A$3:$P$431</definedName>
    <definedName name="ashi21">'[8]2005 CapEx (By VP By Dept) Budg'!$A$3:$P$431</definedName>
    <definedName name="ashia">#REF!</definedName>
    <definedName name="ashita">#REF!</definedName>
    <definedName name="ashita216">'[8]2005 CapEx (By VP By Dept) Budg'!$A$3:$P$431</definedName>
    <definedName name="AsOfDt">'[12]#REF'!$B$2</definedName>
    <definedName name="asrada">#REF!</definedName>
    <definedName name="assd" hidden="1">{#N/A,#N/A,FALSE,"Monthly SAIFI";#N/A,#N/A,FALSE,"Yearly SAIFI";#N/A,#N/A,FALSE,"Monthly CAIDI";#N/A,#N/A,FALSE,"Yearly CAIDI";#N/A,#N/A,FALSE,"Monthly SAIDI";#N/A,#N/A,FALSE,"Yearly SAIDI";#N/A,#N/A,FALSE,"Monthly MAIFI";#N/A,#N/A,FALSE,"Yearly MAIFI";#N/A,#N/A,FALSE,"Monthly Cust &gt;=4 Int"}</definedName>
    <definedName name="Asset_Management">#REF!</definedName>
    <definedName name="Asset_Management_">#REF!</definedName>
    <definedName name="Aug">#REF!</definedName>
    <definedName name="AugNEW">#REF!</definedName>
    <definedName name="August">#REF!</definedName>
    <definedName name="b" hidden="1">{#N/A,#N/A,FALSE,"Monthly SAIFI";#N/A,#N/A,FALSE,"Yearly SAIFI";#N/A,#N/A,FALSE,"Monthly CAIDI";#N/A,#N/A,FALSE,"Yearly CAIDI";#N/A,#N/A,FALSE,"Monthly SAIDI";#N/A,#N/A,FALSE,"Yearly SAIDI";#N/A,#N/A,FALSE,"Monthly MAIFI";#N/A,#N/A,FALSE,"Yearly MAIFI";#N/A,#N/A,FALSE,"Monthly Cust &gt;=4 Int"}</definedName>
    <definedName name="b_u_10">'[4]QRE''s'!$A$39:$IV$94</definedName>
    <definedName name="b_u_11">'[4]QRE''s'!$A$43:$IV$94</definedName>
    <definedName name="b_u_12">'[4]QRE''s'!$A$47:$IV$94</definedName>
    <definedName name="b_u_13">'[4]QRE''s'!$A$51:$IV$94</definedName>
    <definedName name="b_u_14">'[4]QRE''s'!$A$55:$IV$94</definedName>
    <definedName name="b_u_15">'[4]QRE''s'!$A$59:$IV$94</definedName>
    <definedName name="b_u_16">'[4]QRE''s'!$A$63:$IV$94</definedName>
    <definedName name="b_u_17">'[4]QRE''s'!$A$67:$IV$94</definedName>
    <definedName name="b_u_18">'[4]QRE''s'!$A$71:$IV$94</definedName>
    <definedName name="b_u_19">'[4]QRE''s'!$A$75:$IV$94</definedName>
    <definedName name="b_u_2">'[4]QRE''s'!$A$11:$IV$94</definedName>
    <definedName name="b_u_20">'[4]QRE''s'!$A$79:$IV$94</definedName>
    <definedName name="b_u_21">'[4]QRE''s'!$A$83:$IV$94</definedName>
    <definedName name="b_u_22">'[4]QRE''s'!$A$87:$IV$94</definedName>
    <definedName name="b_u_23">'[4]QRE''s'!$A$91:$IV$94</definedName>
    <definedName name="b_u_3">'[4]QRE''s'!$A$11:$IV$94</definedName>
    <definedName name="b_u_4">'[4]QRE''s'!$A$15:$IV$94</definedName>
    <definedName name="b_u_5">'[4]QRE''s'!$A$19:$IV$94</definedName>
    <definedName name="b_u_6">'[4]QRE''s'!$A$23:$IV$94</definedName>
    <definedName name="b_u_7">'[4]QRE''s'!$A$27:$IV$94</definedName>
    <definedName name="b_u_8">'[4]QRE''s'!$A$31:$IV$94</definedName>
    <definedName name="b_u_9">'[4]QRE''s'!$A$35:$IV$94</definedName>
    <definedName name="Balance_Sheet">#REF!</definedName>
    <definedName name="Balance_Sheet_Date">[13]Update!$B$3</definedName>
    <definedName name="Balance_Sheet_Heading">[13]Update!$B$4</definedName>
    <definedName name="bankidrange">[14]Control!$AI$5:$AI$1012</definedName>
    <definedName name="Base">#REF!</definedName>
    <definedName name="BASE_DETAIL_QRE">[4]Sens_QRE_Factor!$D$8:$H$98</definedName>
    <definedName name="BASE_MESSAGE">#REF!</definedName>
    <definedName name="BASE_QRES">[4]Sens_QRE_Factor!$D$8:$H$98</definedName>
    <definedName name="BASE_QRES0.75">'[4]QRE Charts'!$E$366</definedName>
    <definedName name="BASE_QRES0.80">'[4]QRE Charts'!$F$366</definedName>
    <definedName name="BASE_QRES0.85">'[4]QRE Charts'!$G$366</definedName>
    <definedName name="BASE_QRES0.90">'[4]QRE Charts'!$H$366</definedName>
    <definedName name="BASE_QRES0.95">'[4]QRE Charts'!$I$366</definedName>
    <definedName name="BASE_QRES1.00">'[4]QRE Charts'!$J$366</definedName>
    <definedName name="BASE_QRES1.05">'[4]QRE Charts'!$K$366</definedName>
    <definedName name="BASE_QRES1.10">'[4]QRE Charts'!$L$366</definedName>
    <definedName name="BASE_QRES1.15">'[4]QRE Charts'!$M$366</definedName>
    <definedName name="BASE_QRES1.20">'[4]QRE Charts'!$N$366</definedName>
    <definedName name="BASE_QRES1.25">'[4]QRE Charts'!$O$366</definedName>
    <definedName name="BASE_SENS_FACT">#REF!</definedName>
    <definedName name="Baseline">'[15]Valid Table Values'!#REF!</definedName>
    <definedName name="bcbcvb">'[8]2005 CapEx (By VP By Dept) Budg'!$A$3:$P$431</definedName>
    <definedName name="beny" hidden="1">{#N/A,#N/A,FALSE,"Monthly SAIFI";#N/A,#N/A,FALSE,"Yearly SAIFI";#N/A,#N/A,FALSE,"Monthly CAIDI";#N/A,#N/A,FALSE,"Yearly CAIDI";#N/A,#N/A,FALSE,"Monthly SAIDI";#N/A,#N/A,FALSE,"Yearly SAIDI";#N/A,#N/A,FALSE,"Monthly MAIFI";#N/A,#N/A,FALSE,"Yearly MAIFI";#N/A,#N/A,FALSE,"Monthly Cust &gt;=4 Int"}</definedName>
    <definedName name="BGS_Auction_Cost">[16]Assumptions!#REF!</definedName>
    <definedName name="BGS_Forecast">[17]Assumptions!#REF!</definedName>
    <definedName name="BGS_Rate">#REF!</definedName>
    <definedName name="Bi10LTIP_Table">'[18]98LTIP6b-10b'!$A$7:$D$17</definedName>
    <definedName name="BILLED_KWHs">#REF!</definedName>
    <definedName name="BILLED_KWHsNEW">#REF!</definedName>
    <definedName name="Black_Box">[19]Assumptions!$E$41</definedName>
    <definedName name="BLE_Close_Date">[16]Assumptions!$E$16</definedName>
    <definedName name="BLE_Resid">[20]Assumptions!$E$20</definedName>
    <definedName name="BLE_Strand">'[16]TBC Rate Summary'!$B$32:$H$214</definedName>
    <definedName name="BLEwd">[16]Assumptions!$E$19</definedName>
    <definedName name="bpgr84">[4]Print!$C$48</definedName>
    <definedName name="bpgr85">[4]Print!$E$48</definedName>
    <definedName name="bpgr86">[4]Print!$G$48</definedName>
    <definedName name="bpgr87">[4]Print!$I$48</definedName>
    <definedName name="bpgr88">[4]Print!$K$48</definedName>
    <definedName name="bpqre84">[4]Print!$C$41</definedName>
    <definedName name="bpqre85">[4]Print!$E$41</definedName>
    <definedName name="bpqre86">[4]Print!$G$41</definedName>
    <definedName name="bpqre87">[4]Print!$I$41</definedName>
    <definedName name="bpqre88">[4]Print!$K$41</definedName>
    <definedName name="BPU_Assessment">[16]Assumptions!$E$37</definedName>
    <definedName name="Brett041">'[8]2005 CapEx (By VP By Dept) Budg'!$A$3:$P$431</definedName>
    <definedName name="Brett0415">'[8]2005 CapEx (By VP By Dept) Budg'!$A$3:$P$431</definedName>
    <definedName name="Brett0416">#REF!</definedName>
    <definedName name="Brett042">#REF!</definedName>
    <definedName name="brett0420">'[8]2005 CapEx (By VP By Dept) Budg'!$A$3:$P$431</definedName>
    <definedName name="brett0421">#REF!</definedName>
    <definedName name="Brett0422">'[8]2005 CapEx (By VP By Dept) Budg'!$A$3:$P$431</definedName>
    <definedName name="Brett0423">#REF!</definedName>
    <definedName name="Brett0601">'[8]2005 CapEx (By VP By Dept) Budg'!$A$3:$P$431</definedName>
    <definedName name="Brett0602">#REF!</definedName>
    <definedName name="Brett403">'[8]2005 CapEx (By VP By Dept) Budg'!$A$3:$P$431</definedName>
    <definedName name="Brett404">#REF!</definedName>
    <definedName name="Brett406">'[8]2005 CapEx (By VP By Dept) Budg'!$A$3:$P$431</definedName>
    <definedName name="Brett407">#REF!</definedName>
    <definedName name="Brett408">'[8]2005 CapEx (By VP By Dept) Budg'!$A$3:$P$431</definedName>
    <definedName name="Brett409">#REF!</definedName>
    <definedName name="Brett410">'[8]2005 CapEx (By VP By Dept) Budg'!$A$3:$P$431</definedName>
    <definedName name="Brett411">#REF!</definedName>
    <definedName name="Brett418">'[8]2005 CapEx (By VP By Dept) Budg'!$A$3:$P$431</definedName>
    <definedName name="Brett419">#REF!</definedName>
    <definedName name="BSYEAREND">[21]SETUP!$C$21</definedName>
    <definedName name="bu10total84">[4]B_U_10!$C$95</definedName>
    <definedName name="bu10total84a">[4]B_U_10!$C$103</definedName>
    <definedName name="bu10total85">[4]B_U_10!$D$95</definedName>
    <definedName name="bu10total85a">[4]B_U_10!$D$103</definedName>
    <definedName name="bu10total86">[4]B_U_10!$E$95</definedName>
    <definedName name="bu10total86a">[4]B_U_10!$E$103</definedName>
    <definedName name="bu10total87">[4]B_U_10!$F$95</definedName>
    <definedName name="bu10total87a">[4]B_U_10!$F$103</definedName>
    <definedName name="bu10total88">[4]B_U_10!$G$95</definedName>
    <definedName name="bu10total88a">[4]B_U_10!$G$103</definedName>
    <definedName name="bu10total89">[4]B_U_10!$H$95</definedName>
    <definedName name="bu10total89a">[4]B_U_10!$H$103</definedName>
    <definedName name="bu10total90">[4]B_U_10!$I$95</definedName>
    <definedName name="bu10total90a">[4]B_U_10!$I$103</definedName>
    <definedName name="bu10total91">[4]B_U_10!$J$95</definedName>
    <definedName name="bu10total91a">[4]B_U_10!$J$103</definedName>
    <definedName name="bu10total92">[4]B_U_10!$K$95</definedName>
    <definedName name="bu10total92a">[4]B_U_10!$K$103</definedName>
    <definedName name="bu10total93">[4]B_U_10!$L$95</definedName>
    <definedName name="bu10total93a">[4]B_U_10!$L$103</definedName>
    <definedName name="bu10total94">[4]B_U_10!$M$95</definedName>
    <definedName name="bu10total94a">[4]B_U_10!$M$103</definedName>
    <definedName name="bu10total95">[4]B_U_10!$N$95</definedName>
    <definedName name="bu10total95a">[4]B_U_10!$N$103</definedName>
    <definedName name="bu10total96">[4]B_U_10!$O$95</definedName>
    <definedName name="bu10total96a">[4]B_U_10!$O$103</definedName>
    <definedName name="bu10total97">[4]B_U_10!$P$95</definedName>
    <definedName name="bu10total97a">[4]B_U_10!$P$103</definedName>
    <definedName name="bu10total98">[4]B_U_10!$Q$95</definedName>
    <definedName name="bu10total98a">[4]B_U_10!$Q$103</definedName>
    <definedName name="bu11total84">[4]B_U_11!$C$95</definedName>
    <definedName name="bu11total84a">[4]B_U_11!$C$103</definedName>
    <definedName name="bu11total85">[4]B_U_11!$D$95</definedName>
    <definedName name="bu11total85a">[4]B_U_11!$D$103</definedName>
    <definedName name="bu11total86">[4]B_U_11!$E$95</definedName>
    <definedName name="bu11total86a">[4]B_U_11!$E$103</definedName>
    <definedName name="bu11total87">[4]B_U_11!$F$95</definedName>
    <definedName name="bu11total87a">[4]B_U_11!$F$103</definedName>
    <definedName name="bu11total88">[4]B_U_11!$G$95</definedName>
    <definedName name="bu11total88a">[4]B_U_11!$G$103</definedName>
    <definedName name="bu11total89">[4]B_U_11!$H$95</definedName>
    <definedName name="bu11total89a">[4]B_U_11!$H$103</definedName>
    <definedName name="bu11total90">[4]B_U_11!$I$95</definedName>
    <definedName name="bu11total90a">[4]B_U_11!$I$103</definedName>
    <definedName name="bu11total91">[4]B_U_11!$J$95</definedName>
    <definedName name="bu11total91a">[4]B_U_11!$J$103</definedName>
    <definedName name="bu11total92">[4]B_U_11!$K$95</definedName>
    <definedName name="bu11total92a">[4]B_U_11!$K$103</definedName>
    <definedName name="bu11total93">[4]B_U_11!$L$95</definedName>
    <definedName name="bu11total93a">[4]B_U_11!$L$103</definedName>
    <definedName name="bu11total94">[4]B_U_11!$M$95</definedName>
    <definedName name="bu11total94a">[4]B_U_11!$M$103</definedName>
    <definedName name="bu11total95">[4]B_U_11!$N$95</definedName>
    <definedName name="bu11total95a">[4]B_U_11!$N$103</definedName>
    <definedName name="bu11total96">[4]B_U_11!$O$95</definedName>
    <definedName name="bu11total96a">[4]B_U_11!$O$103</definedName>
    <definedName name="bu11total97">[4]B_U_11!$P$95</definedName>
    <definedName name="bu11total97a">[4]B_U_11!$P$103</definedName>
    <definedName name="bu11total98">[4]B_U_11!$Q$95</definedName>
    <definedName name="bu11total98a">[4]B_U_11!$Q$103</definedName>
    <definedName name="bu12total84">[4]B_U_12!$C$95</definedName>
    <definedName name="bu12total84a">[4]B_U_12!$C$103</definedName>
    <definedName name="bu12total85">[4]B_U_12!$D$95</definedName>
    <definedName name="bu12total85a">[4]B_U_12!$D$103</definedName>
    <definedName name="bu12total86">[4]B_U_12!$E$95</definedName>
    <definedName name="bu12total86a">[4]B_U_12!$E$103</definedName>
    <definedName name="bu12total87">[4]B_U_12!$F$95</definedName>
    <definedName name="bu12total87a">[4]B_U_12!$F$103</definedName>
    <definedName name="bu12total88">[4]B_U_12!$G$95</definedName>
    <definedName name="bu12total88a">[4]B_U_12!$G$103</definedName>
    <definedName name="bu12total89">[4]B_U_12!$H$95</definedName>
    <definedName name="bu12total89a">[4]B_U_12!$H$103</definedName>
    <definedName name="bu12total90">[4]B_U_12!$I$95</definedName>
    <definedName name="bu12total90a">[4]B_U_12!$I$103</definedName>
    <definedName name="bu12total91">[4]B_U_12!$J$95</definedName>
    <definedName name="bu12total91a">[4]B_U_12!$J$103</definedName>
    <definedName name="bu12total92">[4]B_U_12!$K$95</definedName>
    <definedName name="bu12total92a">[4]B_U_12!$K$103</definedName>
    <definedName name="bu12total93">[4]B_U_12!$L$95</definedName>
    <definedName name="bu12total93a">[4]B_U_12!$L$103</definedName>
    <definedName name="bu12total94">[4]B_U_12!$M$95</definedName>
    <definedName name="bu12total94a">[4]B_U_12!$M$103</definedName>
    <definedName name="bu12total95">[4]B_U_12!$N$95</definedName>
    <definedName name="bu12total95a">[4]B_U_12!$N$103</definedName>
    <definedName name="bu12total96">[4]B_U_12!$O$95</definedName>
    <definedName name="bu12total96a">[4]B_U_12!$O$103</definedName>
    <definedName name="bu12total97">[4]B_U_12!$P$95</definedName>
    <definedName name="bu12total97a">[4]B_U_12!$P$103</definedName>
    <definedName name="bu12total98">[4]B_U_12!$Q$95</definedName>
    <definedName name="bu12total98a">[4]B_U_12!$Q$103</definedName>
    <definedName name="bu13total84">[4]B_U_13!$C$95</definedName>
    <definedName name="bu13total84a">[4]B_U_13!$C$103</definedName>
    <definedName name="bu13total85">[4]B_U_13!$D$95</definedName>
    <definedName name="bu13total85a">[4]B_U_13!$D$103</definedName>
    <definedName name="bu13total86">[4]B_U_13!$E$95</definedName>
    <definedName name="bu13total86a">[4]B_U_13!$E$103</definedName>
    <definedName name="bu13total87">[4]B_U_13!$F$95</definedName>
    <definedName name="bu13total87a">[4]B_U_13!$F$103</definedName>
    <definedName name="bu13total88">[4]B_U_13!$G$95</definedName>
    <definedName name="bu13total88a">[4]B_U_13!$G$103</definedName>
    <definedName name="bu13total89">[4]B_U_13!$H$95</definedName>
    <definedName name="bu13total89a">[4]B_U_13!$H$103</definedName>
    <definedName name="bu13total90">[4]B_U_13!$I$95</definedName>
    <definedName name="bu13total90a">[4]B_U_13!$I$103</definedName>
    <definedName name="bu13total91">[4]B_U_13!$J$95</definedName>
    <definedName name="bu13total91a">[4]B_U_13!$J$103</definedName>
    <definedName name="bu13total92">[4]B_U_13!$K$95</definedName>
    <definedName name="bu13total92a">[4]B_U_13!$K$103</definedName>
    <definedName name="bu13total93">[4]B_U_13!$L$95</definedName>
    <definedName name="bu13total93a">[4]B_U_13!$L$103</definedName>
    <definedName name="bu13total94">[4]B_U_13!$M$95</definedName>
    <definedName name="bu13total94a">[4]B_U_13!$M$103</definedName>
    <definedName name="bu13total95">[4]B_U_13!$N$95</definedName>
    <definedName name="bu13total95a">[4]B_U_13!$N$103</definedName>
    <definedName name="bu13total96">[4]B_U_13!$O$95</definedName>
    <definedName name="bu13total96a">[4]B_U_13!$O$103</definedName>
    <definedName name="bu13total97">[4]B_U_13!$P$95</definedName>
    <definedName name="bu13total97a">[4]B_U_13!$P$103</definedName>
    <definedName name="bu13total98">[4]B_U_13!$Q$95</definedName>
    <definedName name="bu13total98a">[4]B_U_13!$Q$103</definedName>
    <definedName name="bu14total84">[4]B_U_14!$C$95</definedName>
    <definedName name="bu14total84a">[4]B_U_14!$C$103</definedName>
    <definedName name="bu14total85">[4]B_U_14!$D$95</definedName>
    <definedName name="bu14total85a">[4]B_U_14!$D$103</definedName>
    <definedName name="bu14total86">[4]B_U_14!$E$95</definedName>
    <definedName name="bu14total86a">[4]B_U_14!$E$103</definedName>
    <definedName name="bu14total87">[4]B_U_14!$F$95</definedName>
    <definedName name="bu14total87a">[4]B_U_14!$F$103</definedName>
    <definedName name="bu14total88">[4]B_U_14!$G$95</definedName>
    <definedName name="bu14total88a">[4]B_U_14!$G$103</definedName>
    <definedName name="bu14total89">[4]B_U_14!$H$95</definedName>
    <definedName name="bu14total89a">[4]B_U_14!$H$103</definedName>
    <definedName name="bu14total90">[4]B_U_14!$I$95</definedName>
    <definedName name="bu14total90a">[4]B_U_14!$I$103</definedName>
    <definedName name="bu14total91">[4]B_U_14!$J$95</definedName>
    <definedName name="bu14total91a">[4]B_U_14!$J$103</definedName>
    <definedName name="bu14total92">[4]B_U_14!$K$95</definedName>
    <definedName name="bu14total92a">[4]B_U_14!$K$103</definedName>
    <definedName name="bu14total93">[4]B_U_14!$L$95</definedName>
    <definedName name="bu14total93a">[4]B_U_14!$L$103</definedName>
    <definedName name="bu14total94">[4]B_U_14!$M$95</definedName>
    <definedName name="bu14total94a">[4]B_U_14!$M$103</definedName>
    <definedName name="bu14total95">[4]B_U_14!$N$95</definedName>
    <definedName name="bu14total95a">[4]B_U_14!$N$103</definedName>
    <definedName name="bu14total96">[4]B_U_14!$O$95</definedName>
    <definedName name="bu14total96a">[4]B_U_14!$O$103</definedName>
    <definedName name="bu14total97">[4]B_U_14!$P$95</definedName>
    <definedName name="bu14total97a">[4]B_U_14!$P$103</definedName>
    <definedName name="bu14total98">[4]B_U_14!$Q$95</definedName>
    <definedName name="bu14total98a">[4]B_U_14!$Q$103</definedName>
    <definedName name="bu15total84">[4]B_U_15!$C$95</definedName>
    <definedName name="bu15total84a">[4]B_U_15!$C$103</definedName>
    <definedName name="bu15total85">[4]B_U_15!$D$95</definedName>
    <definedName name="bu15total85a">[4]B_U_15!$D$103</definedName>
    <definedName name="bu15total86">[4]B_U_15!$E$95</definedName>
    <definedName name="bu15total86a">[4]B_U_15!$E$103</definedName>
    <definedName name="bu15total87">[4]B_U_15!$F$95</definedName>
    <definedName name="bu15total87a">[4]B_U_15!$F$103</definedName>
    <definedName name="bu15total88">[4]B_U_15!$G$95</definedName>
    <definedName name="bu15total88a">[4]B_U_15!$G$103</definedName>
    <definedName name="bu15total89">[4]B_U_15!$H$95</definedName>
    <definedName name="bu15total89a">[4]B_U_15!$H$103</definedName>
    <definedName name="bu15total90">[4]B_U_15!$I$95</definedName>
    <definedName name="bu15total90a">[4]B_U_15!$I$103</definedName>
    <definedName name="bu15total91">[4]B_U_15!$J$95</definedName>
    <definedName name="bu15total91a">[4]B_U_15!$J$103</definedName>
    <definedName name="bu15total92">[4]B_U_15!$K$95</definedName>
    <definedName name="bu15total92a">[4]B_U_15!$K$103</definedName>
    <definedName name="bu15total93">[4]B_U_15!$L$95</definedName>
    <definedName name="bu15total93a">[4]B_U_15!$L$103</definedName>
    <definedName name="bu15total94">[4]B_U_15!$M$95</definedName>
    <definedName name="bu15total94a">[4]B_U_15!$M$103</definedName>
    <definedName name="bu15total95">[4]B_U_15!$N$95</definedName>
    <definedName name="bu15total95a">[4]B_U_15!$N$103</definedName>
    <definedName name="bu15total96">[4]B_U_15!$O$95</definedName>
    <definedName name="bu15total96a">[4]B_U_15!$O$103</definedName>
    <definedName name="bu15total97">[4]B_U_15!$P$95</definedName>
    <definedName name="bu15total97a">[4]B_U_15!$P$103</definedName>
    <definedName name="bu15total98">[4]B_U_15!$Q$95</definedName>
    <definedName name="bu15total98a">[4]B_U_15!$Q$103</definedName>
    <definedName name="bu16total84">[4]B_U_16!$C$95</definedName>
    <definedName name="bu16total84a">[4]B_U_16!$C$103</definedName>
    <definedName name="bu16total85">[4]B_U_16!$D$95</definedName>
    <definedName name="bu16total85a">[4]B_U_16!$D$103</definedName>
    <definedName name="bu16total86">[4]B_U_16!$E$95</definedName>
    <definedName name="bu16total86a">[4]B_U_16!$E$103</definedName>
    <definedName name="bu16total87">[4]B_U_16!$F$95</definedName>
    <definedName name="bu16total87a">[4]B_U_16!$F$103</definedName>
    <definedName name="bu16total88">[4]B_U_16!$G$95</definedName>
    <definedName name="bu16total88a">[4]B_U_16!$G$103</definedName>
    <definedName name="bu16total89">[4]B_U_16!$H$95</definedName>
    <definedName name="bu16total89a">[4]B_U_16!$H$103</definedName>
    <definedName name="bu16total90">[4]B_U_16!$I$95</definedName>
    <definedName name="bu16total90a">[4]B_U_16!$I$103</definedName>
    <definedName name="bu16total91">[4]B_U_16!$J$95</definedName>
    <definedName name="bu16total91a">[4]B_U_16!$J$103</definedName>
    <definedName name="bu16total92">[4]B_U_16!$K$95</definedName>
    <definedName name="bu16total92a">[4]B_U_16!$K$103</definedName>
    <definedName name="bu16total93">[4]B_U_16!$L$95</definedName>
    <definedName name="bu16total93a">[4]B_U_16!$L$103</definedName>
    <definedName name="bu16total94">[4]B_U_16!$M$95</definedName>
    <definedName name="bu16total94a">[4]B_U_16!$M$103</definedName>
    <definedName name="bu16total95">[4]B_U_16!$N$95</definedName>
    <definedName name="bu16total95a">[4]B_U_16!$N$103</definedName>
    <definedName name="bu16total96">[4]B_U_16!$O$95</definedName>
    <definedName name="bu16total96a">[4]B_U_16!$O$103</definedName>
    <definedName name="bu16total97">[4]B_U_16!$P$95</definedName>
    <definedName name="bu16total97a">[4]B_U_16!$P$103</definedName>
    <definedName name="bu16total98">[4]B_U_16!$Q$95</definedName>
    <definedName name="bu16total98a">[4]B_U_16!$Q$103</definedName>
    <definedName name="bu17total84">[4]B_U_17!$C$95</definedName>
    <definedName name="bu17total84a">[4]B_U_17!$C$103</definedName>
    <definedName name="bu17total85">[4]B_U_17!$D$95</definedName>
    <definedName name="bu17total85a">[4]B_U_17!$D$103</definedName>
    <definedName name="bu17total86">[4]B_U_17!$E$95</definedName>
    <definedName name="bu17total86a">[4]B_U_17!$E$103</definedName>
    <definedName name="bu17total87">[4]B_U_17!$F$95</definedName>
    <definedName name="bu17total87a">[4]B_U_17!$F$103</definedName>
    <definedName name="bu17total88">[4]B_U_17!$G$95</definedName>
    <definedName name="bu17total88a">[4]B_U_17!$G$103</definedName>
    <definedName name="bu17total89">[4]B_U_17!$H$95</definedName>
    <definedName name="bu17total89a">[4]B_U_17!$H$103</definedName>
    <definedName name="bu17total90">[4]B_U_17!$I$95</definedName>
    <definedName name="bu17total90a">[4]B_U_17!$I$103</definedName>
    <definedName name="bu17total91">[4]B_U_17!$J$95</definedName>
    <definedName name="bu17total91a">[4]B_U_17!$J$103</definedName>
    <definedName name="bu17total92">[4]B_U_17!$K$95</definedName>
    <definedName name="bu17total92a">[4]B_U_17!$K$103</definedName>
    <definedName name="bu17total93">[4]B_U_17!$L$95</definedName>
    <definedName name="bu17total93a">[4]B_U_17!$L$103</definedName>
    <definedName name="bu17total94">[4]B_U_17!$M$95</definedName>
    <definedName name="bu17total94a">[4]B_U_17!$M$103</definedName>
    <definedName name="bu17total95">[4]B_U_17!$N$95</definedName>
    <definedName name="bu17total95a">[4]B_U_17!$N$103</definedName>
    <definedName name="bu17total96">[4]B_U_17!$O$95</definedName>
    <definedName name="bu17total96a">[4]B_U_17!$O$103</definedName>
    <definedName name="bu17total97">[4]B_U_17!$P$95</definedName>
    <definedName name="bu17total97a">[4]B_U_17!$P$103</definedName>
    <definedName name="bu17total98">[4]B_U_17!$Q$95</definedName>
    <definedName name="bu17total98a">[4]B_U_17!$Q$103</definedName>
    <definedName name="bu18total84">[4]B_U_18!$C$95</definedName>
    <definedName name="bu18total84a">[4]B_U_18!$C$103</definedName>
    <definedName name="bu18total85">[4]B_U_18!$D$95</definedName>
    <definedName name="bu18total85a">[4]B_U_18!$D$103</definedName>
    <definedName name="bu18total86">[4]B_U_18!$E$95</definedName>
    <definedName name="bu18total86a">[4]B_U_18!$E$103</definedName>
    <definedName name="bu18total87">[4]B_U_18!$F$95</definedName>
    <definedName name="bu18total87a">[4]B_U_18!$F$103</definedName>
    <definedName name="bu18total88">[4]B_U_18!$G$95</definedName>
    <definedName name="bu18total88a">[4]B_U_18!$G$103</definedName>
    <definedName name="bu18total89">[4]B_U_18!$H$95</definedName>
    <definedName name="bu18total89a">[4]B_U_18!$H$103</definedName>
    <definedName name="bu18total90">[4]B_U_18!$I$95</definedName>
    <definedName name="bu18total90a">[4]B_U_18!$I$103</definedName>
    <definedName name="bu18total91">[4]B_U_18!$J$95</definedName>
    <definedName name="bu18total91a">[4]B_U_18!$J$103</definedName>
    <definedName name="bu18total92">[4]B_U_18!$K$95</definedName>
    <definedName name="bu18total92a">[4]B_U_18!$K$103</definedName>
    <definedName name="bu18total93">[4]B_U_18!$L$95</definedName>
    <definedName name="bu18total93a">[4]B_U_18!$L$103</definedName>
    <definedName name="bu18total94">[4]B_U_18!$M$95</definedName>
    <definedName name="bu18total94a">[4]B_U_18!$M$103</definedName>
    <definedName name="bu18total95">[4]B_U_18!$N$95</definedName>
    <definedName name="bu18total95a">[4]B_U_18!$N$103</definedName>
    <definedName name="bu18total96">[4]B_U_18!$O$95</definedName>
    <definedName name="bu18total96a">[4]B_U_18!$O$103</definedName>
    <definedName name="bu18total97">[4]B_U_18!$P$95</definedName>
    <definedName name="bu18total97a">[4]B_U_18!$P$103</definedName>
    <definedName name="bu18total98">[4]B_U_18!$Q$95</definedName>
    <definedName name="bu18total98a">[4]B_U_18!$Q$103</definedName>
    <definedName name="bu19total84">[4]B_U_19!$C$95</definedName>
    <definedName name="bu19total84a">[4]B_U_19!$C$103</definedName>
    <definedName name="bu19total85">[4]B_U_19!$D$95</definedName>
    <definedName name="bu19total85a">[4]B_U_19!$D$103</definedName>
    <definedName name="bu19total86">[4]B_U_19!$E$95</definedName>
    <definedName name="bu19total86a">[4]B_U_19!$E$103</definedName>
    <definedName name="bu19total87">[4]B_U_19!$F$95</definedName>
    <definedName name="bu19total87a">[4]B_U_19!$F$103</definedName>
    <definedName name="bu19total88">[4]B_U_19!$G$95</definedName>
    <definedName name="bu19total88a">[4]B_U_19!$G$103</definedName>
    <definedName name="bu19total89">[4]B_U_19!$H$95</definedName>
    <definedName name="bu19total89a">[4]B_U_19!$H$103</definedName>
    <definedName name="bu19total90">[4]B_U_19!$I$95</definedName>
    <definedName name="bu19total90a">[4]B_U_19!$I$103</definedName>
    <definedName name="bu19total91">[4]B_U_19!$J$95</definedName>
    <definedName name="bu19total91a">[4]B_U_19!$J$103</definedName>
    <definedName name="bu19total92">[4]B_U_19!$K$95</definedName>
    <definedName name="bu19total92a">[4]B_U_19!$K$103</definedName>
    <definedName name="bu19total93">[4]B_U_19!$L$95</definedName>
    <definedName name="bu19total93a">[4]B_U_19!$L$103</definedName>
    <definedName name="bu19total94">[4]B_U_19!$M$95</definedName>
    <definedName name="bu19total94a">[4]B_U_19!$M$103</definedName>
    <definedName name="bu19total95">[4]B_U_19!$N$95</definedName>
    <definedName name="bu19total95a">[4]B_U_19!$N$103</definedName>
    <definedName name="bu19total96">[4]B_U_19!$O$95</definedName>
    <definedName name="bu19total96a">[4]B_U_19!$O$103</definedName>
    <definedName name="bu19total97">[4]B_U_19!$P$95</definedName>
    <definedName name="bu19total97a">[4]B_U_19!$P$103</definedName>
    <definedName name="bu19total98">[4]B_U_19!$Q$95</definedName>
    <definedName name="bu19total98a">[4]B_U_19!$Q$103</definedName>
    <definedName name="bu1total84">'[4]PHASE II'!$C$95</definedName>
    <definedName name="bu1total84a">'[4]PHASE II'!$C$103</definedName>
    <definedName name="bu1total85">'[4]PHASE II'!$D$95</definedName>
    <definedName name="bu1total85a">'[4]PHASE II'!$D$103</definedName>
    <definedName name="bu1total86">'[4]PHASE II'!$E$95</definedName>
    <definedName name="bu1total86a">'[4]PHASE II'!$E$103</definedName>
    <definedName name="bu1total87">'[4]PHASE II'!$F$95</definedName>
    <definedName name="bu1total87a">'[4]PHASE II'!$F$103</definedName>
    <definedName name="bu1total88">'[4]PHASE II'!$G$95</definedName>
    <definedName name="bu1total88a">'[4]PHASE II'!$G$103</definedName>
    <definedName name="bu1total89">'[4]PHASE II'!$H$95</definedName>
    <definedName name="bu1total89a">'[4]PHASE II'!$H$103</definedName>
    <definedName name="bu1total90">'[4]PHASE II'!$I$95</definedName>
    <definedName name="bu1total90a">'[4]PHASE II'!$I$103</definedName>
    <definedName name="bu1total91">'[4]PHASE II'!$K$95</definedName>
    <definedName name="bu1total91a">'[4]PHASE II'!$K$103</definedName>
    <definedName name="bu1total92">'[4]PHASE II'!$M$95</definedName>
    <definedName name="bu1total92a">'[4]PHASE II'!$M$103</definedName>
    <definedName name="bu1total93">'[4]PHASE II'!$O$95</definedName>
    <definedName name="bu1total93a">'[4]PHASE II'!$O$103</definedName>
    <definedName name="bu1total94">'[4]PHASE II'!$Q$95</definedName>
    <definedName name="bu1total94a">'[4]PHASE II'!$Q$103</definedName>
    <definedName name="bu1total95">'[4]PHASE II'!$S$95</definedName>
    <definedName name="bu1total95a">'[4]PHASE II'!$S$103</definedName>
    <definedName name="bu1total96">'[4]PHASE II'!$T$95</definedName>
    <definedName name="bu1total96a">'[4]PHASE II'!$T$103</definedName>
    <definedName name="bu1total97">'[4]PHASE II'!$U$95</definedName>
    <definedName name="bu1total97a">'[4]PHASE II'!$U$103</definedName>
    <definedName name="bu1total98">'[4]PHASE II'!$W$95</definedName>
    <definedName name="bu1total98a">'[4]PHASE II'!$W$103</definedName>
    <definedName name="bu20total84">[4]B_U_20!$C$95</definedName>
    <definedName name="bu20total84a">[4]B_U_20!$C$103</definedName>
    <definedName name="bu20total85">[4]B_U_20!$D$95</definedName>
    <definedName name="bu20total85a">[4]B_U_20!$D$103</definedName>
    <definedName name="bu20total86">[4]B_U_20!$E$95</definedName>
    <definedName name="bu20total86a">[4]B_U_20!$E$103</definedName>
    <definedName name="bu20total87">[4]B_U_20!$F$95</definedName>
    <definedName name="bu20total87a">[4]B_U_20!$F$103</definedName>
    <definedName name="bu20total88">[4]B_U_20!$G$95</definedName>
    <definedName name="bu20total88a">[4]B_U_20!$G$103</definedName>
    <definedName name="bu20total89">[4]B_U_20!$H$95</definedName>
    <definedName name="bu20total89a">[4]B_U_20!$H$103</definedName>
    <definedName name="bu20total90">[4]B_U_20!$I$95</definedName>
    <definedName name="bu20total90a">[4]B_U_20!$I$103</definedName>
    <definedName name="bu20total91">[4]B_U_20!$J$95</definedName>
    <definedName name="bu20total91a">[4]B_U_20!$J$103</definedName>
    <definedName name="bu20total92">[4]B_U_20!$K$95</definedName>
    <definedName name="bu20total92a">[4]B_U_20!$K$103</definedName>
    <definedName name="bu20total93">[4]B_U_20!$L$95</definedName>
    <definedName name="bu20total93a">[4]B_U_20!$L$103</definedName>
    <definedName name="bu20total94">[4]B_U_20!$M$95</definedName>
    <definedName name="bu20total94a">[4]B_U_20!$M$103</definedName>
    <definedName name="bu20total95">[4]B_U_20!$N$95</definedName>
    <definedName name="bu20total95a">[4]B_U_20!$N$103</definedName>
    <definedName name="bu20total96">[4]B_U_20!$O$95</definedName>
    <definedName name="bu20total96a">[4]B_U_20!$O$103</definedName>
    <definedName name="bu20total97">[4]B_U_20!$P$95</definedName>
    <definedName name="bu20total97a">[4]B_U_20!$P$103</definedName>
    <definedName name="bu20total98">[4]B_U_20!$Q$95</definedName>
    <definedName name="bu20total98a">[4]B_U_20!$Q$103</definedName>
    <definedName name="bu21total84">[4]B_U_21!$C$95</definedName>
    <definedName name="bu21total84a">[4]B_U_21!$C$103</definedName>
    <definedName name="bu21total85">[4]B_U_21!$D$95</definedName>
    <definedName name="bu21total85a">[4]B_U_21!$D$103</definedName>
    <definedName name="bu21total86">[4]B_U_21!$E$95</definedName>
    <definedName name="bu21total86a">[4]B_U_21!$E$103</definedName>
    <definedName name="bu21total87">[4]B_U_21!$F$95</definedName>
    <definedName name="bu21total87a">[4]B_U_21!$F$103</definedName>
    <definedName name="bu21total88">[4]B_U_21!$G$95</definedName>
    <definedName name="bu21total88a">[4]B_U_21!$G$103</definedName>
    <definedName name="bu21total89">[4]B_U_21!$H$95</definedName>
    <definedName name="bu21total89a">[4]B_U_21!$H$103</definedName>
    <definedName name="bu21total90">[4]B_U_21!$I$95</definedName>
    <definedName name="bu21total90a">[4]B_U_21!$I$103</definedName>
    <definedName name="bu21total91">[4]B_U_21!$J$95</definedName>
    <definedName name="bu21total91a">[4]B_U_21!$J$103</definedName>
    <definedName name="bu21total92">[4]B_U_21!$K$95</definedName>
    <definedName name="bu21total92a">[4]B_U_21!$K$103</definedName>
    <definedName name="bu21total93">[4]B_U_21!$L$95</definedName>
    <definedName name="bu21total93a">[4]B_U_21!$L$103</definedName>
    <definedName name="bu21total94">[4]B_U_21!$M$95</definedName>
    <definedName name="bu21total94a">[4]B_U_21!$M$103</definedName>
    <definedName name="bu21total95">[4]B_U_21!$N$95</definedName>
    <definedName name="bu21total95a">[4]B_U_21!$N$103</definedName>
    <definedName name="bu21total96">[4]B_U_21!$O$95</definedName>
    <definedName name="bu21total96a">[4]B_U_21!$O$103</definedName>
    <definedName name="bu21total97">[4]B_U_21!$P$95</definedName>
    <definedName name="bu21total97a">[4]B_U_21!$P$103</definedName>
    <definedName name="bu21total98">[4]B_U_21!$Q$95</definedName>
    <definedName name="bu21total98a">[4]B_U_21!$Q$103</definedName>
    <definedName name="bu22total84">[4]B_U_22!$C$95</definedName>
    <definedName name="bu22total84a">[4]B_U_22!$C$103</definedName>
    <definedName name="bu22total85">[4]B_U_22!$D$95</definedName>
    <definedName name="bu22total85a">[4]B_U_22!$D$103</definedName>
    <definedName name="bu22total86">[4]B_U_22!$E$95</definedName>
    <definedName name="bu22total86a">[4]B_U_22!$E$103</definedName>
    <definedName name="bu22total87">[4]B_U_22!$F$95</definedName>
    <definedName name="bu22total87a">[4]B_U_22!$F$103</definedName>
    <definedName name="bu22total88">[4]B_U_22!$G$95</definedName>
    <definedName name="bu22total88a">[4]B_U_22!$G$103</definedName>
    <definedName name="bu22total89">[4]B_U_22!$H$95</definedName>
    <definedName name="bu22total89a">[4]B_U_22!$H$103</definedName>
    <definedName name="bu22total90">[4]B_U_22!$I$95</definedName>
    <definedName name="bu22total90a">[4]B_U_22!$I$103</definedName>
    <definedName name="bu22total91">[4]B_U_22!$J$95</definedName>
    <definedName name="bu22total91a">[4]B_U_22!$J$103</definedName>
    <definedName name="bu22total92">[4]B_U_22!$K$95</definedName>
    <definedName name="bu22total92a">[4]B_U_22!$K$103</definedName>
    <definedName name="bu22total93">[4]B_U_22!$L$95</definedName>
    <definedName name="bu22total93a">[4]B_U_22!$L$103</definedName>
    <definedName name="bu22total94">[4]B_U_22!$M$95</definedName>
    <definedName name="bu22total94a">[4]B_U_22!$M$103</definedName>
    <definedName name="bu22total95">[4]B_U_22!$N$95</definedName>
    <definedName name="bu22total95a">[4]B_U_22!$N$103</definedName>
    <definedName name="bu22total96">[4]B_U_22!$O$95</definedName>
    <definedName name="bu22total96a">[4]B_U_22!$O$103</definedName>
    <definedName name="bu22total97">[4]B_U_22!$P$95</definedName>
    <definedName name="bu22total97a">[4]B_U_22!$P$103</definedName>
    <definedName name="bu22total98">[4]B_U_22!$Q$95</definedName>
    <definedName name="bu22total98a">[4]B_U_22!$Q$103</definedName>
    <definedName name="bu23total84">[4]B_U_23!$C$95</definedName>
    <definedName name="bu23total84a">[4]B_U_23!$C$103</definedName>
    <definedName name="bu23total85">[4]B_U_23!$D$95</definedName>
    <definedName name="bu23total85a">[4]B_U_23!$D$103</definedName>
    <definedName name="bu23total86">[4]B_U_23!$E$95</definedName>
    <definedName name="bu23total86a">[4]B_U_23!$E$103</definedName>
    <definedName name="bu23total87">[4]B_U_23!$F$95</definedName>
    <definedName name="bu23total87a">[4]B_U_23!$F$103</definedName>
    <definedName name="bu23total88">[4]B_U_23!$G$95</definedName>
    <definedName name="bu23total88a">[4]B_U_23!$G$103</definedName>
    <definedName name="bu23total89">[4]B_U_23!$H$95</definedName>
    <definedName name="bu23total89a">[4]B_U_23!$H$103</definedName>
    <definedName name="bu23total90">[4]B_U_23!$I$95</definedName>
    <definedName name="bu23total90a">[4]B_U_23!$I$103</definedName>
    <definedName name="bu23total91">[4]B_U_23!$J$95</definedName>
    <definedName name="bu23total91a">[4]B_U_23!$J$103</definedName>
    <definedName name="bu23total92">[4]B_U_23!$K$95</definedName>
    <definedName name="bu23total92a">[4]B_U_23!$K$103</definedName>
    <definedName name="bu23total93">[4]B_U_23!$L$95</definedName>
    <definedName name="bu23total93a">[4]B_U_23!$L$103</definedName>
    <definedName name="bu23total94">[4]B_U_23!$M$95</definedName>
    <definedName name="bu23total94a">[4]B_U_23!$M$103</definedName>
    <definedName name="bu23total95">[4]B_U_23!$N$95</definedName>
    <definedName name="bu23total95a">[4]B_U_23!$N$103</definedName>
    <definedName name="bu23total96">[4]B_U_23!$O$95</definedName>
    <definedName name="bu23total96a">[4]B_U_23!$O$103</definedName>
    <definedName name="bu23total97">[4]B_U_23!$P$95</definedName>
    <definedName name="bu23total97a">[4]B_U_23!$P$103</definedName>
    <definedName name="bu23total98">[4]B_U_23!$Q$95</definedName>
    <definedName name="bu23total98a">[4]B_U_23!$Q$103</definedName>
    <definedName name="bu2total84">'[4]ORIGINAL CLAIM'!$C$95</definedName>
    <definedName name="bu2total84a">'[4]ORIGINAL CLAIM'!$C$103</definedName>
    <definedName name="bu2total85">'[4]ORIGINAL CLAIM'!$D$95</definedName>
    <definedName name="bu2total85a">'[4]ORIGINAL CLAIM'!$D$103</definedName>
    <definedName name="bu2total86">'[4]ORIGINAL CLAIM'!$E$95</definedName>
    <definedName name="bu2total86a">'[4]ORIGINAL CLAIM'!$E$103</definedName>
    <definedName name="bu2total87">'[4]ORIGINAL CLAIM'!$F$95</definedName>
    <definedName name="bu2total87a">'[4]ORIGINAL CLAIM'!$F$103</definedName>
    <definedName name="bu2total88">'[4]ORIGINAL CLAIM'!$G$95</definedName>
    <definedName name="bu2total88a">'[4]ORIGINAL CLAIM'!$G$103</definedName>
    <definedName name="bu2total89">'[4]ORIGINAL CLAIM'!$H$95</definedName>
    <definedName name="bu2total89a">'[4]ORIGINAL CLAIM'!$H$103</definedName>
    <definedName name="bu2total90">'[4]ORIGINAL CLAIM'!$I$95</definedName>
    <definedName name="bu2total90a">'[4]ORIGINAL CLAIM'!$I$103</definedName>
    <definedName name="bu2total91">'[4]ORIGINAL CLAIM'!$J$95</definedName>
    <definedName name="bu2total91a">'[4]ORIGINAL CLAIM'!$J$103</definedName>
    <definedName name="bu2total92">'[4]ORIGINAL CLAIM'!$K$95</definedName>
    <definedName name="bu2total92a">'[4]ORIGINAL CLAIM'!$K$103</definedName>
    <definedName name="bu2total93">'[4]ORIGINAL CLAIM'!$L$95</definedName>
    <definedName name="bu2total93a">'[4]ORIGINAL CLAIM'!$L$103</definedName>
    <definedName name="bu2total94">'[4]ORIGINAL CLAIM'!$M$95</definedName>
    <definedName name="bu2total94a">'[4]ORIGINAL CLAIM'!$M$103</definedName>
    <definedName name="bu2total95">'[4]ORIGINAL CLAIM'!$N$95</definedName>
    <definedName name="bu2total95a">'[4]ORIGINAL CLAIM'!$N$103</definedName>
    <definedName name="bu2total96">'[4]ORIGINAL CLAIM'!$O$95</definedName>
    <definedName name="bu2total96a">'[4]ORIGINAL CLAIM'!$O$103</definedName>
    <definedName name="bu2total97">'[4]ORIGINAL CLAIM'!$P$95</definedName>
    <definedName name="bu2total97a">'[4]ORIGINAL CLAIM'!$P$103</definedName>
    <definedName name="bu2total98">'[4]ORIGINAL CLAIM'!$Q$95</definedName>
    <definedName name="bu2total98a">'[4]ORIGINAL CLAIM'!$Q$103</definedName>
    <definedName name="bu3total84">[4]B_U_3!$C$95</definedName>
    <definedName name="bu3total84a">[4]B_U_3!$C$103</definedName>
    <definedName name="bu3total85">[4]B_U_3!$D$95</definedName>
    <definedName name="bu3total85a">[4]B_U_3!$D$103</definedName>
    <definedName name="bu3total86">[4]B_U_3!$E$95</definedName>
    <definedName name="bu3total86a">[4]B_U_3!$E$103</definedName>
    <definedName name="bu3total87">[4]B_U_3!$F$95</definedName>
    <definedName name="bu3total87a">[4]B_U_3!$F$103</definedName>
    <definedName name="bu3total88">[4]B_U_3!$G$95</definedName>
    <definedName name="bu3total88a">[4]B_U_3!$G$103</definedName>
    <definedName name="bu3total89">[4]B_U_3!$H$95</definedName>
    <definedName name="bu3total89a">[4]B_U_3!$H$103</definedName>
    <definedName name="bu3total90">[4]B_U_3!$I$95</definedName>
    <definedName name="bu3total90a">[4]B_U_3!$I$103</definedName>
    <definedName name="bu3total91">[4]B_U_3!$J$95</definedName>
    <definedName name="bu3total91a">[4]B_U_3!$J$103</definedName>
    <definedName name="bu3total92">[4]B_U_3!$K$95</definedName>
    <definedName name="bu3total92a">[4]B_U_3!$K$103</definedName>
    <definedName name="bu3total93">[4]B_U_3!$L$95</definedName>
    <definedName name="bu3total93a">[4]B_U_3!$L$103</definedName>
    <definedName name="bu3total94">[4]B_U_3!$M$95</definedName>
    <definedName name="bu3total94a">[4]B_U_3!$M$103</definedName>
    <definedName name="bu3total95">[4]B_U_3!$N$95</definedName>
    <definedName name="bu3total95a">[4]B_U_3!$N$103</definedName>
    <definedName name="bu3total96">[4]B_U_3!$O$95</definedName>
    <definedName name="bu3total96a">[4]B_U_3!$O$103</definedName>
    <definedName name="bu3total97">[4]B_U_3!$P$95</definedName>
    <definedName name="bu3total97a">[4]B_U_3!$P$103</definedName>
    <definedName name="bu3total98">[4]B_U_3!$Q$95</definedName>
    <definedName name="bu3total98a">[4]B_U_3!$Q$103</definedName>
    <definedName name="bu4total84">[4]B_U_4!$C$95</definedName>
    <definedName name="bu4total84a">[4]B_U_4!$C$103</definedName>
    <definedName name="bu4total85">[4]B_U_4!$D$95</definedName>
    <definedName name="bu4total85a">[4]B_U_4!$D$103</definedName>
    <definedName name="bu4total86">[4]B_U_4!$E$95</definedName>
    <definedName name="bu4total86a">[4]B_U_4!$E$103</definedName>
    <definedName name="bu4total87">[4]B_U_4!$F$95</definedName>
    <definedName name="bu4total87a">[4]B_U_4!$F$103</definedName>
    <definedName name="bu4total88">[4]B_U_4!$G$95</definedName>
    <definedName name="bu4total88a">[4]B_U_4!$G$103</definedName>
    <definedName name="bu4total89">[4]B_U_4!$H$95</definedName>
    <definedName name="bu4total89a">[4]B_U_4!$H$103</definedName>
    <definedName name="bu4total90">[4]B_U_4!$I$95</definedName>
    <definedName name="bu4total90a">[4]B_U_4!$I$103</definedName>
    <definedName name="bu4total91">[4]B_U_4!$J$95</definedName>
    <definedName name="bu4total91a">[4]B_U_4!$J$103</definedName>
    <definedName name="bu4total92">[4]B_U_4!$K$95</definedName>
    <definedName name="bu4total92a">[4]B_U_4!$K$103</definedName>
    <definedName name="bu4total93">[4]B_U_4!$L$95</definedName>
    <definedName name="bu4total93a">[4]B_U_4!$L$103</definedName>
    <definedName name="bu4total94">[4]B_U_4!$M$95</definedName>
    <definedName name="bu4total94a">[4]B_U_4!$M$103</definedName>
    <definedName name="bu4total95">[4]B_U_4!$N$95</definedName>
    <definedName name="bu4total95a">[4]B_U_4!$N$103</definedName>
    <definedName name="bu4total96">[4]B_U_4!$O$95</definedName>
    <definedName name="bu4total96a">[4]B_U_4!$O$103</definedName>
    <definedName name="bu4total97">[4]B_U_4!$P$95</definedName>
    <definedName name="bu4total97a">[4]B_U_4!$P$103</definedName>
    <definedName name="bu4total98">[4]B_U_4!$Q$95</definedName>
    <definedName name="bu4total98a">[4]B_U_4!$Q$103</definedName>
    <definedName name="bu5total84">[4]B_U_5!$C$95</definedName>
    <definedName name="bu5total84a">[4]B_U_5!$C$103</definedName>
    <definedName name="bu5total85">[4]B_U_5!$D$95</definedName>
    <definedName name="bu5total85a">[4]B_U_5!$D$103</definedName>
    <definedName name="bu5total86">[4]B_U_5!$E$95</definedName>
    <definedName name="bu5total86a">[4]B_U_5!$E$103</definedName>
    <definedName name="bu5total87">[4]B_U_5!$F$95</definedName>
    <definedName name="bu5total87a">[4]B_U_5!$F$103</definedName>
    <definedName name="bu5total88">[4]B_U_5!$G$95</definedName>
    <definedName name="bu5total88a">[4]B_U_5!$G$103</definedName>
    <definedName name="bu5total89">[4]B_U_5!$H$95</definedName>
    <definedName name="bu5total89a">[4]B_U_5!$H$103</definedName>
    <definedName name="bu5total90">[4]B_U_5!$I$95</definedName>
    <definedName name="bu5total90a">[4]B_U_5!$I$103</definedName>
    <definedName name="bu5total91">[4]B_U_5!$J$95</definedName>
    <definedName name="bu5total91a">[4]B_U_5!$J$103</definedName>
    <definedName name="bu5total92">[4]B_U_5!$K$95</definedName>
    <definedName name="bu5total92a">[4]B_U_5!$K$103</definedName>
    <definedName name="bu5total93">[4]B_U_5!$L$95</definedName>
    <definedName name="bu5total93a">[4]B_U_5!$L$103</definedName>
    <definedName name="bu5total94">[4]B_U_5!$M$95</definedName>
    <definedName name="bu5total94a">[4]B_U_5!$M$103</definedName>
    <definedName name="bu5total95">[4]B_U_5!$N$95</definedName>
    <definedName name="bu5total95a">[4]B_U_5!$N$103</definedName>
    <definedName name="bu5total96">[4]B_U_5!$O$95</definedName>
    <definedName name="bu5total96a">[4]B_U_5!$O$103</definedName>
    <definedName name="bu5total97">[4]B_U_5!$P$95</definedName>
    <definedName name="bu5total97a">[4]B_U_5!$P$103</definedName>
    <definedName name="bu5total98">[4]B_U_5!$Q$95</definedName>
    <definedName name="bu5total98a">[4]B_U_5!$Q$103</definedName>
    <definedName name="bu6total84">[4]B_U_6!$C$94</definedName>
    <definedName name="bu6total84a">[4]B_U_6!$C$103</definedName>
    <definedName name="bu6total85">[4]B_U_6!$D$94</definedName>
    <definedName name="bu6total85a">[4]B_U_6!$D$103</definedName>
    <definedName name="bu6total86">[4]B_U_6!$E$94</definedName>
    <definedName name="bu6total86a">[4]B_U_6!$E$103</definedName>
    <definedName name="bu6total87">[4]B_U_6!$F$94</definedName>
    <definedName name="bu6total87a">[4]B_U_6!$F$103</definedName>
    <definedName name="bu6total88">[4]B_U_6!$G$94</definedName>
    <definedName name="bu6total88a">[4]B_U_6!$G$103</definedName>
    <definedName name="bu6total89">[4]B_U_6!$H$94</definedName>
    <definedName name="bu6total89a">[4]B_U_6!$H$103</definedName>
    <definedName name="bu6total90">[4]B_U_6!$I$94</definedName>
    <definedName name="bu6total90a">[4]B_U_6!$I$103</definedName>
    <definedName name="bu6total91">[4]B_U_6!$J$94</definedName>
    <definedName name="bu6total91a">[4]B_U_6!$J$103</definedName>
    <definedName name="bu6total92">[4]B_U_6!$K$94</definedName>
    <definedName name="bu6total92a">[4]B_U_6!$K$103</definedName>
    <definedName name="bu6total93">[4]B_U_6!$L$94</definedName>
    <definedName name="bu6total93a">[4]B_U_6!$L$103</definedName>
    <definedName name="bu6total94">[4]B_U_6!$M$94</definedName>
    <definedName name="bu6total94a">[4]B_U_6!$M$103</definedName>
    <definedName name="bu6total95">[4]B_U_6!$N$94</definedName>
    <definedName name="bu6total95a">[4]B_U_6!$N$103</definedName>
    <definedName name="bu6total96">[4]B_U_6!$O$94</definedName>
    <definedName name="bu6total96a">[4]B_U_6!$O$103</definedName>
    <definedName name="bu6total97">[4]B_U_6!$P$94</definedName>
    <definedName name="bu6total97a">[4]B_U_6!$P$103</definedName>
    <definedName name="bu6total98">[4]B_U_6!$Q$94</definedName>
    <definedName name="bu6total98a">[4]B_U_6!$Q$103</definedName>
    <definedName name="bu7total84">[4]B_U_7!$C$95</definedName>
    <definedName name="bu7total84a">[4]B_U_7!$C$103</definedName>
    <definedName name="bu7total85">[4]B_U_7!$D$95</definedName>
    <definedName name="bu7total85a">[4]B_U_7!$D$103</definedName>
    <definedName name="bu7total86">[4]B_U_7!$E$95</definedName>
    <definedName name="bu7total86a">[4]B_U_7!$E$103</definedName>
    <definedName name="bu7total87">[4]B_U_7!$F$95</definedName>
    <definedName name="bu7total87a">[4]B_U_7!$F$103</definedName>
    <definedName name="bu7total88">[4]B_U_7!$G$95</definedName>
    <definedName name="bu7total88a">[4]B_U_7!$G$103</definedName>
    <definedName name="bu7total89">[4]B_U_7!$H$95</definedName>
    <definedName name="bu7total89a">[4]B_U_7!$H$103</definedName>
    <definedName name="bu7total90">[4]B_U_7!$I$95</definedName>
    <definedName name="bu7total90a">[4]B_U_7!$I$103</definedName>
    <definedName name="bu7total91">[4]B_U_7!$J$95</definedName>
    <definedName name="bu7total91a">[4]B_U_7!$J$103</definedName>
    <definedName name="bu7total92">[4]B_U_7!$K$95</definedName>
    <definedName name="bu7total92a">[4]B_U_7!$K$103</definedName>
    <definedName name="bu7total93">[4]B_U_7!$L$95</definedName>
    <definedName name="bu7total93a">[4]B_U_7!$L$103</definedName>
    <definedName name="bu7total94">[4]B_U_7!$M$95</definedName>
    <definedName name="bu7total94a">[4]B_U_7!$M$103</definedName>
    <definedName name="bu7total95">[4]B_U_7!$N$95</definedName>
    <definedName name="bu7total95a">[4]B_U_7!$N$103</definedName>
    <definedName name="bu7total96">[4]B_U_7!$O$95</definedName>
    <definedName name="bu7total96a">[4]B_U_7!$O$103</definedName>
    <definedName name="bu7total97">[4]B_U_7!$P$95</definedName>
    <definedName name="bu7total97a">[4]B_U_7!$P$103</definedName>
    <definedName name="bu7total98">[4]B_U_7!$Q$95</definedName>
    <definedName name="bu7total98a">[4]B_U_7!$Q$103</definedName>
    <definedName name="bu8total84">[4]B_U_8!$C$94</definedName>
    <definedName name="bu8total84a">[4]B_U_8!$C$103</definedName>
    <definedName name="bu8total85">[4]B_U_8!$D$94</definedName>
    <definedName name="bu8total85a">[4]B_U_8!$D$103</definedName>
    <definedName name="bu8total86">[4]B_U_8!$E$94</definedName>
    <definedName name="bu8total86a">[4]B_U_8!$E$103</definedName>
    <definedName name="bu8total87">[4]B_U_8!$F$94</definedName>
    <definedName name="bu8total87a">[4]B_U_8!$F$103</definedName>
    <definedName name="bu8total88">[4]B_U_8!$G$94</definedName>
    <definedName name="bu8total88a">[4]B_U_8!$G$103</definedName>
    <definedName name="bu8total89">[4]B_U_8!$H$94</definedName>
    <definedName name="bu8total89a">[4]B_U_8!$H$103</definedName>
    <definedName name="bu8total90">[4]B_U_8!$I$94</definedName>
    <definedName name="bu8total90a">[4]B_U_8!$I$103</definedName>
    <definedName name="bu8total91">[4]B_U_8!$J$94</definedName>
    <definedName name="bu8total91a">[4]B_U_8!$J$103</definedName>
    <definedName name="bu8total92">[4]B_U_8!$K$94</definedName>
    <definedName name="bu8total92a">[4]B_U_8!$K$103</definedName>
    <definedName name="bu8total93">[4]B_U_8!$L$94</definedName>
    <definedName name="bu8total93a">[4]B_U_8!$L$103</definedName>
    <definedName name="bu8total94">[4]B_U_8!$M$94</definedName>
    <definedName name="bu8total94a">[4]B_U_8!$M$103</definedName>
    <definedName name="bu8total95">[4]B_U_8!$N$94</definedName>
    <definedName name="bu8total95a">[4]B_U_8!$N$103</definedName>
    <definedName name="bu8total96">[4]B_U_8!$O$94</definedName>
    <definedName name="bu8total96a">[4]B_U_8!$O$103</definedName>
    <definedName name="bu8total97">[4]B_U_8!$P$94</definedName>
    <definedName name="bu8total97a">[4]B_U_8!$P$103</definedName>
    <definedName name="bu8total98">[4]B_U_8!$Q$94</definedName>
    <definedName name="bu8total98a">[4]B_U_8!$Q$103</definedName>
    <definedName name="bu9total84">[4]B_U_9!$C$95</definedName>
    <definedName name="bu9total84a">[4]B_U_9!$C$103</definedName>
    <definedName name="bu9total85">[4]B_U_9!$D$95</definedName>
    <definedName name="bu9total85a">[4]B_U_9!$D$103</definedName>
    <definedName name="bu9total86">[4]B_U_9!$E$95</definedName>
    <definedName name="bu9total86a">[4]B_U_9!$E$103</definedName>
    <definedName name="bu9total87">[4]B_U_9!$F$95</definedName>
    <definedName name="bu9total87a">[4]B_U_9!$F$103</definedName>
    <definedName name="bu9total88">[4]B_U_9!$G$95</definedName>
    <definedName name="bu9total88a">[4]B_U_9!$G$103</definedName>
    <definedName name="bu9total89">[4]B_U_9!$H$95</definedName>
    <definedName name="bu9total89a">[4]B_U_9!$H$103</definedName>
    <definedName name="bu9total90">[4]B_U_9!$I$95</definedName>
    <definedName name="bu9total90a">[4]B_U_9!$I$103</definedName>
    <definedName name="bu9total91">[4]B_U_9!$J$95</definedName>
    <definedName name="bu9total91a">[4]B_U_9!$J$103</definedName>
    <definedName name="bu9total92">[4]B_U_9!$K$95</definedName>
    <definedName name="bu9total92a">[4]B_U_9!$K$103</definedName>
    <definedName name="bu9total93">[4]B_U_9!$L$95</definedName>
    <definedName name="bu9total93a">[4]B_U_9!$L$103</definedName>
    <definedName name="bu9total94">[4]B_U_9!$M$95</definedName>
    <definedName name="bu9total94a">[4]B_U_9!$M$103</definedName>
    <definedName name="bu9total95">[4]B_U_9!$N$95</definedName>
    <definedName name="bu9total95a">[4]B_U_9!$N$103</definedName>
    <definedName name="bu9total96">[4]B_U_9!$O$95</definedName>
    <definedName name="bu9total96a">[4]B_U_9!$O$103</definedName>
    <definedName name="bu9total97">[4]B_U_9!$P$95</definedName>
    <definedName name="bu9total97a">[4]B_U_9!$P$103</definedName>
    <definedName name="bu9total98">[4]B_U_9!$Q$95</definedName>
    <definedName name="bu9total98a">[4]B_U_9!$Q$103</definedName>
    <definedName name="BUDGET_YTD">[9]Administrator!$J$60</definedName>
    <definedName name="BUName">[22]SETUP!$C$9</definedName>
    <definedName name="BUTypeAreaRes">'[11]all EED O&amp;M BO data'!$AB$2:$AB$5000</definedName>
    <definedName name="bvfzxcvxczxc">'[8]2005 CapEx (By VP By Dept) Budg'!$A$3:$P$431</definedName>
    <definedName name="bvvlhlkhjl">#REF!</definedName>
    <definedName name="C_">#REF!</definedName>
    <definedName name="Cal">'[8]2005 CapEx (By VP By Dept) Budg'!$A$3:$P$431</definedName>
    <definedName name="CalculationC">'[8]2005 CapEx (By VP By Dept) Budg'!$A$3:$P$377</definedName>
    <definedName name="CalculationCom">'[8]2005 CapEx (By VP By Dept) Budg'!$A$3:$P$377</definedName>
    <definedName name="CalculationComEd">#REF!</definedName>
    <definedName name="calculationD">'[8]2005 CapEx (By VP By Dept) Budg'!$A$3:$P$377</definedName>
    <definedName name="CalculationP">[23]Calculations!$A$3:$P$382</definedName>
    <definedName name="CalculationPeco">'[8]2005 CapEx (By VP By Dept) Budg'!$A$3:$P$382</definedName>
    <definedName name="Calculations">'[8]2005 CapEx (By VP By Dept) Budg'!$A$3:$P$431</definedName>
    <definedName name="CalculationsC">'[8]2005 CapEx (By VP By Dept) Budg'!$A$3:$P$377</definedName>
    <definedName name="CalculationsC1">'[8]2005 CapEx (By VP By Dept) Budg'!$A$3:$P$377</definedName>
    <definedName name="CalculationsC3">#REF!</definedName>
    <definedName name="CalculationsC4">#REF!</definedName>
    <definedName name="CalculationsC5">#REF!</definedName>
    <definedName name="CalculationsP">'[8]2005 CapEx (By VP By Dept) Budg'!$A$3:$P$382</definedName>
    <definedName name="CalculationsP1">'[8]2005 CapEx (By VP By Dept) Budg'!$A$3:$P$382</definedName>
    <definedName name="CalculationsP2">'[8]2005 CapEx (By VP By Dept) Budg'!$A$3:$P$382</definedName>
    <definedName name="CalculationsP3">#REF!</definedName>
    <definedName name="CalculationsP4">#REF!</definedName>
    <definedName name="CalculationsP5">#REF!</definedName>
    <definedName name="CalculationsP6">#REF!</definedName>
    <definedName name="CalculationsPe">'[8]2005 CapEx (By VP By Dept) Budg'!$A$3:$P$382</definedName>
    <definedName name="CalculationsPeco">'[8]2005 CapEx (By VP By Dept) Budg'!$A$3:$P$382</definedName>
    <definedName name="CalculatP">'[8]2005 CapEx (By VP By Dept) Budg'!$A$3:$P$382</definedName>
    <definedName name="CAPA">'[24]ACT CAP'!$D$7:$T$32</definedName>
    <definedName name="CAPB">'[24]BUD CAP'!$D$7:$O$32</definedName>
    <definedName name="Capital">#REF!</definedName>
    <definedName name="cashflow">[14]Control!$AP$5:$AP$30</definedName>
    <definedName name="cbcvbcv" hidden="1">{#N/A,#N/A,FALSE,"Monthly SAIFI";#N/A,#N/A,FALSE,"Yearly SAIFI";#N/A,#N/A,FALSE,"Monthly CAIDI";#N/A,#N/A,FALSE,"Yearly CAIDI";#N/A,#N/A,FALSE,"Monthly SAIDI";#N/A,#N/A,FALSE,"Yearly SAIDI";#N/A,#N/A,FALSE,"Monthly MAIFI";#N/A,#N/A,FALSE,"Yearly MAIFI";#N/A,#N/A,FALSE,"Monthly Cust &gt;=4 Int"}</definedName>
    <definedName name="CBEast">'[25]CBPP Summary'!$I$5:$J$16</definedName>
    <definedName name="CBT">#REF!</definedName>
    <definedName name="CBWest">'[25]CBPP Summary'!$I$19:$J$25</definedName>
    <definedName name="CBWorkbookPriority" hidden="1">-250256570</definedName>
    <definedName name="cc1end">[4]Model!$A$68:$IV$68</definedName>
    <definedName name="cc1subrange">[4]Model!$A$48:$IV$75</definedName>
    <definedName name="cc2origin">[4]Model!$A$76</definedName>
    <definedName name="cc2subrange">[4]Model!$A$124:$IV$146</definedName>
    <definedName name="cc3subrange">[4]Model!$A$152:$IV$179</definedName>
    <definedName name="ccbbcvbc" hidden="1">{#N/A,#N/A,FALSE,"Monthly SAIFI";#N/A,#N/A,FALSE,"Yearly SAIFI";#N/A,#N/A,FALSE,"Monthly CAIDI";#N/A,#N/A,FALSE,"Yearly CAIDI";#N/A,#N/A,FALSE,"Monthly SAIDI";#N/A,#N/A,FALSE,"Yearly SAIDI";#N/A,#N/A,FALSE,"Monthly MAIFI";#N/A,#N/A,FALSE,"Yearly MAIFI";#N/A,#N/A,FALSE,"Monthly Cust &gt;=4 Int"}</definedName>
    <definedName name="CCTR_Data">[26]CCTR_Data!$A$5:$B$5086</definedName>
    <definedName name="CEP">[17]Assumptions!#REF!</definedName>
    <definedName name="CEP_Amortization">'[16]JFJ-4 CEP Rate'!$A$28:$F$83</definedName>
    <definedName name="Choose_Prefs" localSheetId="1">[27]!Choose_Prefs</definedName>
    <definedName name="Choose_Prefs">[27]!Choose_Prefs</definedName>
    <definedName name="chrtContract">'[4]QRE Charts'!$C$274:$R$297</definedName>
    <definedName name="chrtSensitivity">'[4]QRE Charts'!$D$372:$O$375</definedName>
    <definedName name="chrtSensWages">'[4]Sens_QRE''s'!$C$118:$R$141</definedName>
    <definedName name="chrtSupplies">'[4]QRE Charts'!$C$248:$R$271</definedName>
    <definedName name="chrtTax">'[4]QRE Charts'!$C$327:$E$342</definedName>
    <definedName name="chrtTotalByCo">'[4]QRE Charts'!$C$300:$R$323</definedName>
    <definedName name="chrtTotalByType">'[4]QRE Charts'!$C$216:$R$219</definedName>
    <definedName name="chrtWages">'[4]QRE Charts'!$C$222:$R$245</definedName>
    <definedName name="ClaculationC">#REF!</definedName>
    <definedName name="ClaculationP">#REF!</definedName>
    <definedName name="ClaculationsC">#REF!</definedName>
    <definedName name="Class">#REF!</definedName>
    <definedName name="CLDR">#REF!</definedName>
    <definedName name="CoAreaDept">'[11]all EED O&amp;M BO data'!$AA$2:$AA$5000</definedName>
    <definedName name="COGEN">'[28]October Tariff kwh'!$A$1:$H$83</definedName>
    <definedName name="comed1">'[8]2005 CapEx (By VP By Dept) Budg'!$A$3:$P$377</definedName>
    <definedName name="comed2">'[8]2005 CapEx (By VP By Dept) Budg'!$A$3:$P$377</definedName>
    <definedName name="comedmfr2">'[8]2005 CapEx (By VP By Dept) Budg'!$A$3:$P$377</definedName>
    <definedName name="COMMONWEALTH_EDISON_COMPANY">#REF!</definedName>
    <definedName name="Company_Name">[4]Menu!$I$11</definedName>
    <definedName name="CompanyCount">'[4]QRE Charts'!$F$214</definedName>
    <definedName name="COMPAR_PRT_RNG">[4]Comparison!$B$8:$BT$170</definedName>
    <definedName name="complex">[29]lists!#REF!</definedName>
    <definedName name="Composite_Tax_Rate">[19]Assumptions!$E$31</definedName>
    <definedName name="Controls">[30]Controls!$A$3:$I$130</definedName>
    <definedName name="CONVERT_IT">#REF!</definedName>
    <definedName name="CONVERT_RTN">#REF!</definedName>
    <definedName name="COUNTER">'[4]Macro Tables'!$C$21</definedName>
    <definedName name="credit_rate">[4]Print!$I$18</definedName>
    <definedName name="CREDIT1">'[31]One Year Credit Facility (2 (3)'!$A$23:$D$34</definedName>
    <definedName name="creditsummary">[4]Model!$A$180:$E$201</definedName>
    <definedName name="CUR_QRES">[4]Sens_QRE_Factor!$I$8:$R$98</definedName>
    <definedName name="CUR_QRES0.75">'[4]QRE Charts'!$E$367</definedName>
    <definedName name="CUR_QRES0.80">'[4]QRE Charts'!$F$367</definedName>
    <definedName name="CUR_QRES0.85">'[4]QRE Charts'!$G$367</definedName>
    <definedName name="CUR_QRES0.90">'[4]QRE Charts'!$H$367</definedName>
    <definedName name="CUR_QRES0.95">'[4]QRE Charts'!$I$367</definedName>
    <definedName name="CUR_QRES1.00">'[4]QRE Charts'!$J$367</definedName>
    <definedName name="CUR_QRES1.05">'[4]QRE Charts'!$K$367</definedName>
    <definedName name="CUR_QRES1.10">'[4]QRE Charts'!$L$367</definedName>
    <definedName name="CUR_QRES1.15">'[4]QRE Charts'!$M$367</definedName>
    <definedName name="CUR_QRES1.20">'[4]QRE Charts'!$N$367</definedName>
    <definedName name="CUR_QRES1.25">'[4]QRE Charts'!$O$367</definedName>
    <definedName name="CUR_SENS_FACT">#REF!</definedName>
    <definedName name="CURRENT_MESSAGE">#REF!</definedName>
    <definedName name="CurrentEndDate">[22]SETUP!#REF!</definedName>
    <definedName name="CurrPeriod">[32]Tables!$H$4</definedName>
    <definedName name="Curve_Date">[17]Assumptions!#REF!</definedName>
    <definedName name="cvxvvdxzv">'[8]2005 CapEx (By VP By Dept) Budg'!$A$3:$P$431</definedName>
    <definedName name="CYDR">'[33]change07 by plan'!$D$28</definedName>
    <definedName name="d" hidden="1">{#N/A,#N/A,TRUE,"TAXPROV";#N/A,#N/A,TRUE,"FLOWTHRU";#N/A,#N/A,TRUE,"SCHEDULE M'S";#N/A,#N/A,TRUE,"PLANT M'S";#N/A,#N/A,TRUE,"TAXJE"}</definedName>
    <definedName name="dadasdad">'[8]2005 CapEx (By VP By Dept) Budg'!$A$3:$P$431</definedName>
    <definedName name="dadasdas">#REF!</definedName>
    <definedName name="dafklaf">'[8]2005 CapEx (By VP By Dept) Budg'!$A$3:$P$431</definedName>
    <definedName name="dasdadad">'[8]2005 CapEx (By VP By Dept) Budg'!$A$3:$P$431</definedName>
    <definedName name="DASDD" hidden="1">{#N/A,#N/A,FALSE,"Monthly SAIFI";#N/A,#N/A,FALSE,"Yearly SAIFI";#N/A,#N/A,FALSE,"Monthly CAIDI";#N/A,#N/A,FALSE,"Yearly CAIDI";#N/A,#N/A,FALSE,"Monthly SAIDI";#N/A,#N/A,FALSE,"Yearly SAIDI";#N/A,#N/A,FALSE,"Monthly MAIFI";#N/A,#N/A,FALSE,"Yearly MAIFI";#N/A,#N/A,FALSE,"Monthly Cust &gt;=4 Int"}</definedName>
    <definedName name="dasfasfdsdaf">'[8]2005 CapEx (By VP By Dept) Budg'!$A$3:$P$431</definedName>
    <definedName name="Data">#REF!</definedName>
    <definedName name="Data_Tbl">[26]Data_Tbl!$C$4:$H$221</definedName>
    <definedName name="DATA1">#REF!</definedName>
    <definedName name="DATA10">#REF!</definedName>
    <definedName name="DATA11">#REF!</definedName>
    <definedName name="DATA12">#REF!</definedName>
    <definedName name="DATA13">#REF!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base2">#REF!</definedName>
    <definedName name="DATAFEEDER">#N/A</definedName>
    <definedName name="DateNumber">[22]SETUP!#REF!</definedName>
    <definedName name="DateNumberCurrentPrior">#REF!</definedName>
    <definedName name="DateNumberQtrPrior">#REF!</definedName>
    <definedName name="DateNumberYearEndPrior">#REF!</definedName>
    <definedName name="DateText">#REF!</definedName>
    <definedName name="dd" hidden="1">{#N/A,#N/A,FALSE,"Monthly SAIFI";#N/A,#N/A,FALSE,"Yearly SAIFI";#N/A,#N/A,FALSE,"Monthly CAIDI";#N/A,#N/A,FALSE,"Yearly CAIDI";#N/A,#N/A,FALSE,"Monthly SAIDI";#N/A,#N/A,FALSE,"Yearly SAIDI";#N/A,#N/A,FALSE,"Monthly MAIFI";#N/A,#N/A,FALSE,"Yearly MAIFI";#N/A,#N/A,FALSE,"Monthly Cust &gt;=4 Int"}</definedName>
    <definedName name="dddd">#REF!</definedName>
    <definedName name="ddfsaf" hidden="1">{#N/A,#N/A,FALSE,"Monthly SAIFI";#N/A,#N/A,FALSE,"Yearly SAIFI";#N/A,#N/A,FALSE,"Monthly CAIDI";#N/A,#N/A,FALSE,"Yearly CAIDI";#N/A,#N/A,FALSE,"Monthly SAIDI";#N/A,#N/A,FALSE,"Yearly SAIDI";#N/A,#N/A,FALSE,"Monthly MAIFI";#N/A,#N/A,FALSE,"Yearly MAIFI";#N/A,#N/A,FALSE,"Monthly Cust &gt;=4 Int"}</definedName>
    <definedName name="ddvsdfsdfsdf">'[8]2005 CapEx (By VP By Dept) Budg'!$A$3:$P$431</definedName>
    <definedName name="de">#REF!</definedName>
    <definedName name="Dec">#REF!</definedName>
    <definedName name="Decommissioning_Rate">#REF!</definedName>
    <definedName name="decpd">#REF!</definedName>
    <definedName name="Deferral_Interest_Rate">[19]Assumptions!$F$7</definedName>
    <definedName name="Deferral_Recovery">'[16]JFJ-1 Deferral Recovery Rate'!$A$15:$I$101</definedName>
    <definedName name="Deferral_Sec_Date">[16]Assumptions!$E$14</definedName>
    <definedName name="DELAWARE">#REF!</definedName>
    <definedName name="deplr">#REF!</definedName>
    <definedName name="DeprateRL">[30]Depr_Lot!$A$1:$S$128</definedName>
    <definedName name="deytd">#REF!</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ffgdfgd">#REF!</definedName>
    <definedName name="dfdsfs" hidden="1">{#N/A,#N/A,FALSE,"Monthly SAIFI";#N/A,#N/A,FALSE,"Yearly SAIFI";#N/A,#N/A,FALSE,"Monthly CAIDI";#N/A,#N/A,FALSE,"Yearly CAIDI";#N/A,#N/A,FALSE,"Monthly SAIDI";#N/A,#N/A,FALSE,"Yearly SAIDI";#N/A,#N/A,FALSE,"Monthly MAIFI";#N/A,#N/A,FALSE,"Yearly MAIFI";#N/A,#N/A,FALSE,"Monthly Cust &gt;=4 Int"}</definedName>
    <definedName name="dfgdfgh">#REF!</definedName>
    <definedName name="dfgsdgdsfgd">'[8]2005 CapEx (By VP By Dept) Budg'!$A$3:$P$431</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asdfasfs">#REF!</definedName>
    <definedName name="dfsdfsf">#REF!</definedName>
    <definedName name="dfsfasfasfs">#REF!</definedName>
    <definedName name="dfssdfsdfsdfsdf">'[8]2005 CapEx (By VP By Dept) Budg'!$A$3:$P$431</definedName>
    <definedName name="Discount10">#REF!</definedName>
    <definedName name="Discount11">#REF!</definedName>
    <definedName name="Discount12">#REF!</definedName>
    <definedName name="Discount13">#REF!</definedName>
    <definedName name="Discount14">#REF!</definedName>
    <definedName name="Discount15">#REF!</definedName>
    <definedName name="Discount2">#REF!</definedName>
    <definedName name="Discount3">#REF!</definedName>
    <definedName name="Discount4">#REF!</definedName>
    <definedName name="Discount5">#REF!</definedName>
    <definedName name="Discount6">#REF!</definedName>
    <definedName name="Discount7">#REF!</definedName>
    <definedName name="Discount8">#REF!</definedName>
    <definedName name="Discount9">#REF!</definedName>
    <definedName name="discrate">#REF!</definedName>
    <definedName name="Distribution_Rate_Adjustment">#REF!</definedName>
    <definedName name="DOIT">[4]Comparison!$CK$11</definedName>
    <definedName name="DP1875TB">#REF!</definedName>
    <definedName name="dpl">#REF!</definedName>
    <definedName name="dplcpd">#REF!</definedName>
    <definedName name="dplplr">#REF!</definedName>
    <definedName name="DPLYTD">#REF!</definedName>
    <definedName name="DR">#REF!</definedName>
    <definedName name="dsfasfsadfsdfsa">'[8]2005 CapEx (By VP By Dept) Budg'!$A$3:$P$431</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y">[4]Print!$A$8</definedName>
    <definedName name="dyCR">[4]Print!$G$8</definedName>
    <definedName name="dyqre90">[4]Model!$I$90</definedName>
    <definedName name="dyqre91">[4]Model!$J$94</definedName>
    <definedName name="dyqre92">[4]Model!$K$98</definedName>
    <definedName name="dyqre93">[4]Model!$L$101</definedName>
    <definedName name="dyqre94">[4]Model!$M$105</definedName>
    <definedName name="dyqre95">[4]Model!$N$109</definedName>
    <definedName name="dyqre96">[4]Model!$O$113</definedName>
    <definedName name="dyqre97">[4]Model!$P$119</definedName>
    <definedName name="dyqre98">[4]Model!$Q$123</definedName>
    <definedName name="dyQW">[4]Print!$C$8</definedName>
    <definedName name="dyS">[4]Print!$E$8</definedName>
    <definedName name="E">#REF!</definedName>
    <definedName name="eaewq">#REF!</definedName>
    <definedName name="EASTERN">#REF!</definedName>
    <definedName name="edred" hidden="1">{#N/A,#N/A,FALSE,"Monthly SAIFI";#N/A,#N/A,FALSE,"Yearly SAIFI";#N/A,#N/A,FALSE,"Monthly CAIDI";#N/A,#N/A,FALSE,"Yearly CAIDI";#N/A,#N/A,FALSE,"Monthly SAIDI";#N/A,#N/A,FALSE,"Yearly SAIDI";#N/A,#N/A,FALSE,"Monthly MAIFI";#N/A,#N/A,FALSE,"Yearly MAIFI";#N/A,#N/A,FALSE,"Monthly Cust &gt;=4 Int"}</definedName>
    <definedName name="EED">#REF!</definedName>
    <definedName name="ELEC_CUST">#REF!</definedName>
    <definedName name="ELEC_REV">#REF!</definedName>
    <definedName name="ELEC_SALES">#REF!</definedName>
    <definedName name="empid">#REF!</definedName>
    <definedName name="EPG">#REF!</definedName>
    <definedName name="erser">#REF!</definedName>
    <definedName name="EssOptions">"1100000000130100_11-          00"</definedName>
    <definedName name="Estimated_Fair_Value">"fair_value"</definedName>
    <definedName name="EV__LASTREFTIME__" hidden="1">39853.6878472222</definedName>
    <definedName name="EXPENSES">#REF!</definedName>
    <definedName name="f" hidden="1">{#N/A,#N/A,TRUE,"TAXPROV";#N/A,#N/A,TRUE,"FLOWTHRU";#N/A,#N/A,TRUE,"SCHEDULE M'S";#N/A,#N/A,TRUE,"PLANT M'S";#N/A,#N/A,TRUE,"TAXJE"}</definedName>
    <definedName name="FACTOR_.75">'[4]Macro Tables'!$C$27</definedName>
    <definedName name="FACTOR_.80">'[4]Macro Tables'!$C$28</definedName>
    <definedName name="FACTOR_.85">'[4]Macro Tables'!$C$29</definedName>
    <definedName name="FACTOR_.90">'[4]Macro Tables'!$C$30</definedName>
    <definedName name="FACTOR_.95">'[4]Macro Tables'!$C$31</definedName>
    <definedName name="FACTOR_1">'[4]Macro Tables'!$C$32</definedName>
    <definedName name="FACTOR_1.05">'[4]Macro Tables'!$C$33</definedName>
    <definedName name="FACTOR_1.1">'[4]Macro Tables'!$C$34</definedName>
    <definedName name="FACTOR_1.15">'[4]Macro Tables'!$C$35</definedName>
    <definedName name="FACTOR_1.2">'[4]Macro Tables'!$C$36</definedName>
    <definedName name="FACTOR_1.25">'[4]Macro Tables'!$C$37</definedName>
    <definedName name="FACTOR_NAME">'[4]Macro Tables'!$C$22</definedName>
    <definedName name="FACTOR_TABLE">'[4]Macro Tables'!$B$27:$C$37</definedName>
    <definedName name="FACTOR_VALUE">'[4]Macro Tables'!$C$23</definedName>
    <definedName name="fafasfasf">#REF!</definedName>
    <definedName name="fair_value">[34]Assumptions!$B$14</definedName>
    <definedName name="fasdfsadf">'[8]2005 CapEx (By VP By Dept) Budg'!$A$3:$P$431</definedName>
    <definedName name="fasfsafasf">#REF!</definedName>
    <definedName name="fasfsdf">#REF!</definedName>
    <definedName name="fasfsfsdfsf">'[8]2005 CapEx (By VP By Dept) Budg'!$A$3:$P$431</definedName>
    <definedName name="FB_CUSTOMERS">#REF!</definedName>
    <definedName name="FB_LINES">#REF!</definedName>
    <definedName name="fdfsdfsdfsdfsdfsd">'[8]2005 CapEx (By VP By Dept) Budg'!$A$3:$P$431</definedName>
    <definedName name="FDSDFSF" hidden="1">{#N/A,#N/A,FALSE,"Monthly SAIFI";#N/A,#N/A,FALSE,"Yearly SAIFI";#N/A,#N/A,FALSE,"Monthly CAIDI";#N/A,#N/A,FALSE,"Yearly CAIDI";#N/A,#N/A,FALSE,"Monthly SAIDI";#N/A,#N/A,FALSE,"Yearly SAIDI";#N/A,#N/A,FALSE,"Monthly MAIFI";#N/A,#N/A,FALSE,"Yearly MAIFI";#N/A,#N/A,FALSE,"Monthly Cust &gt;=4 Int"}</definedName>
    <definedName name="fdsfafs">#REF!</definedName>
    <definedName name="Feb">#REF!</definedName>
    <definedName name="Federal_Tax_Rate">[16]Assumptions!$E$28</definedName>
    <definedName name="FERC.ICC">#REF!</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fff">'[8]2005 CapEx (By VP By Dept) Budg'!$A$3:$P$431</definedName>
    <definedName name="fghjghjfgjf" hidden="1">{#N/A,#N/A,FALSE,"Monthly SAIFI";#N/A,#N/A,FALSE,"Yearly SAIFI";#N/A,#N/A,FALSE,"Monthly CAIDI";#N/A,#N/A,FALSE,"Yearly CAIDI";#N/A,#N/A,FALSE,"Monthly SAIDI";#N/A,#N/A,FALSE,"Yearly SAIDI";#N/A,#N/A,FALSE,"Monthly MAIFI";#N/A,#N/A,FALSE,"Yearly MAIFI";#N/A,#N/A,FALSE,"Monthly Cust &gt;=4 Int"}</definedName>
    <definedName name="fgsdfgdfgdfhdhdf">'[8]2005 CapEx (By VP By Dept) Budg'!$A$3:$P$431</definedName>
    <definedName name="final">#REF!</definedName>
    <definedName name="Finance3">'[11]all EED O&amp;M BO data'!$AF$2:$AF$5000</definedName>
    <definedName name="FinanceOther">'[11]all EED O&amp;M BO data'!$AC$2:$AC$5000</definedName>
    <definedName name="FinDate">#REF!</definedName>
    <definedName name="findate2">[5]Sheet2!$Q$2:$Q$17</definedName>
    <definedName name="findate3">[5]Sheet2!$Q$2:$Q$17</definedName>
    <definedName name="fjriesmd">#REF!</definedName>
    <definedName name="fnklsdfjklsgf">'[8]2005 CapEx (By VP By Dept) Budg'!$A$3:$P$431</definedName>
    <definedName name="Forecast">[13]Update!$B$5</definedName>
    <definedName name="FORMULA">#REF!+#REF!+#REF!</definedName>
    <definedName name="Fossil_BGS">[20]Assumptions!$E$38</definedName>
    <definedName name="Fossil_Divest">[19]Assumptions!#REF!</definedName>
    <definedName name="Fossil_Secur_Date">[16]Assumptions!$E$12</definedName>
    <definedName name="fsafsfsaf">#REF!</definedName>
    <definedName name="fsdafasf" hidden="1">{#N/A,#N/A,FALSE,"Monthly SAIFI";#N/A,#N/A,FALSE,"Yearly SAIFI";#N/A,#N/A,FALSE,"Monthly CAIDI";#N/A,#N/A,FALSE,"Yearly CAIDI";#N/A,#N/A,FALSE,"Monthly SAIDI";#N/A,#N/A,FALSE,"Yearly SAIDI";#N/A,#N/A,FALSE,"Monthly MAIFI";#N/A,#N/A,FALSE,"Yearly MAIFI";#N/A,#N/A,FALSE,"Monthly Cust &gt;=4 Int"}</definedName>
    <definedName name="fsdf">#REF!</definedName>
    <definedName name="fsdfaf">#REF!</definedName>
    <definedName name="fsdfas">#REF!</definedName>
    <definedName name="fsdfsd">#REF!</definedName>
    <definedName name="fsdfsdfas">#REF!</definedName>
    <definedName name="fsdfsdfsfs">#REF!</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dfsfsf">#REF!</definedName>
    <definedName name="fsdfwer">#REF!</definedName>
    <definedName name="fsfsafkskfsf">#REF!</definedName>
    <definedName name="fsfsafs">#REF!</definedName>
    <definedName name="fsfsdfsafs">'[8]2005 CapEx (By VP By Dept) Budg'!$A$3:$P$431</definedName>
    <definedName name="fsfsfsafasf" hidden="1">{#N/A,#N/A,FALSE,"Monthly SAIFI";#N/A,#N/A,FALSE,"Yearly SAIFI";#N/A,#N/A,FALSE,"Monthly CAIDI";#N/A,#N/A,FALSE,"Yearly CAIDI";#N/A,#N/A,FALSE,"Monthly SAIDI";#N/A,#N/A,FALSE,"Yearly SAIDI";#N/A,#N/A,FALSE,"Monthly MAIFI";#N/A,#N/A,FALSE,"Yearly MAIFI";#N/A,#N/A,FALSE,"Monthly Cust &gt;=4 Int"}</definedName>
    <definedName name="full_credit">[4]Print!$I$20</definedName>
    <definedName name="FunctionTotals">[30]Controls!$P$4:$R$8</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4D">#REF!</definedName>
    <definedName name="g" hidden="1">{#N/A,#N/A,FALSE,"O&amp;M by processes";#N/A,#N/A,FALSE,"Elec Act vs Bud";#N/A,#N/A,FALSE,"G&amp;A";#N/A,#N/A,FALSE,"BGS";#N/A,#N/A,FALSE,"Res Cost"}</definedName>
    <definedName name="GAM83M">#REF!</definedName>
    <definedName name="gas">#REF!</definedName>
    <definedName name="gasytd">#REF!</definedName>
    <definedName name="gatt">[35]TPACT!$B$5:$B$141</definedName>
    <definedName name="gattmale">[35]TPACT!$B$146:$B$282</definedName>
    <definedName name="gdfgdgdg">#REF!</definedName>
    <definedName name="gdfgsdfgsdfgsadf">'[8]2005 CapEx (By VP By Dept) Budg'!$A$3:$P$431</definedName>
    <definedName name="GENERAL_HELP">#REF!</definedName>
    <definedName name="gfdfxdf">'[8]2005 CapEx (By VP By Dept) Budg'!$A$3:$P$431</definedName>
    <definedName name="gfdsgsdgfsd">'[8]2005 CapEx (By VP By Dept) Budg'!$A$3:$P$431</definedName>
    <definedName name="gfhfhfdhg">#REF!</definedName>
    <definedName name="gg" hidden="1">{#N/A,#N/A,FALSE,"O&amp;M by processes";#N/A,#N/A,FALSE,"Elec Act vs Bud";#N/A,#N/A,FALSE,"G&amp;A";#N/A,#N/A,FALSE,"BGS";#N/A,#N/A,FALSE,"Res Cost"}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oaway" hidden="1">{#N/A,#N/A,TRUE,"TAXPROV";#N/A,#N/A,TRUE,"FLOWTHRU";#N/A,#N/A,TRUE,"SCHEDULE M'S";#N/A,#N/A,TRUE,"PLANT M'S";#N/A,#N/A,TRUE,"TAXJE"}</definedName>
    <definedName name="GPURS">#REF!</definedName>
    <definedName name="GR_PRT_RANGE">[4]Gross_Rec!$A$8:$R$52</definedName>
    <definedName name="GRAPH_SELECT">#REF!</definedName>
    <definedName name="GRAPH_TABLE">#REF!</definedName>
    <definedName name="grec8490">[4]Model!$I$50</definedName>
    <definedName name="grec8491">[4]Model!$J$50</definedName>
    <definedName name="grec8492">[4]Model!$K$50</definedName>
    <definedName name="grec8493">[4]Model!$L$50</definedName>
    <definedName name="grec8494">[4]Model!$M$50</definedName>
    <definedName name="grec8495">[4]Model!$N$50</definedName>
    <definedName name="grec8496">[4]Model!$O$50</definedName>
    <definedName name="grec8497">[4]Model!$P$50</definedName>
    <definedName name="grec8498">[4]Model!$Q$50</definedName>
    <definedName name="grec8590">[4]Model!$I$51</definedName>
    <definedName name="grec8591">[4]Model!$J$51</definedName>
    <definedName name="grec8592">[4]Model!$K$51</definedName>
    <definedName name="grec8593">[4]Model!$L$51</definedName>
    <definedName name="grec8594">[4]Model!$M$51</definedName>
    <definedName name="grec8595">[4]Model!$N$51</definedName>
    <definedName name="grec8596">[4]Model!$O$51</definedName>
    <definedName name="grec8597">[4]Model!$P$51</definedName>
    <definedName name="grec8598">[4]Model!$Q$51</definedName>
    <definedName name="grec8690">[4]Model!$I$52</definedName>
    <definedName name="grec8691">[4]Model!$J$52</definedName>
    <definedName name="grec8692">[4]Model!$K$52</definedName>
    <definedName name="grec8693">[4]Model!$L$52</definedName>
    <definedName name="grec8694">[4]Model!$M$52</definedName>
    <definedName name="grec8695">[4]Model!$N$52</definedName>
    <definedName name="grec8696">[4]Model!$O$52</definedName>
    <definedName name="grec8697">[4]Model!$P$52</definedName>
    <definedName name="grec8698">[4]Model!$Q$52</definedName>
    <definedName name="grec8790">[4]Model!$I$53</definedName>
    <definedName name="grec8791">[4]Model!$J$53</definedName>
    <definedName name="grec8792">[4]Model!$K$53</definedName>
    <definedName name="grec8793">[4]Model!$L$53</definedName>
    <definedName name="grec8794">[4]Model!$M$53</definedName>
    <definedName name="grec8795">[4]Model!$N$53</definedName>
    <definedName name="grec8796">[4]Model!$O$53</definedName>
    <definedName name="grec8797">[4]Model!$P$53</definedName>
    <definedName name="grec8798">[4]Model!$Q$53</definedName>
    <definedName name="grec8890">[4]Model!$I$54</definedName>
    <definedName name="grec8891">[4]Model!$J$54</definedName>
    <definedName name="grec8892">[4]Model!$K$54</definedName>
    <definedName name="grec8893">[4]Model!$L$54</definedName>
    <definedName name="grec8894">[4]Model!$M$54</definedName>
    <definedName name="grec8895">[4]Model!$N$54</definedName>
    <definedName name="grec8896">[4]Model!$O$54</definedName>
    <definedName name="grec8897">[4]Model!$P$54</definedName>
    <definedName name="grec8898">[4]Model!$Q$54</definedName>
    <definedName name="gross_rec_caution">[4]Gross_Rec!$A$51:$IV$52</definedName>
    <definedName name="GRS">[4]Gross_Rec!$B$2:$M$49</definedName>
    <definedName name="grtm1">[4]Print!$I$32</definedName>
    <definedName name="grtm2">[4]Print!$G$32</definedName>
    <definedName name="grtm3">[4]Print!$E$32</definedName>
    <definedName name="grtm4">[4]Print!$C$32</definedName>
    <definedName name="GVKey">""</definedName>
    <definedName name="h" hidden="1">{#N/A,#N/A,FALSE,"Monthly SAIFI";#N/A,#N/A,FALSE,"Yearly SAIFI";#N/A,#N/A,FALSE,"Monthly CAIDI";#N/A,#N/A,FALSE,"Yearly CAIDI";#N/A,#N/A,FALSE,"Monthly SAIDI";#N/A,#N/A,FALSE,"Yearly SAIDI";#N/A,#N/A,FALSE,"Monthly MAIFI";#N/A,#N/A,FALSE,"Yearly MAIFI";#N/A,#N/A,FALSE,"Monthly Cust &gt;=4 Int"}</definedName>
    <definedName name="HELP_LOCATOR">#REF!</definedName>
    <definedName name="hh" hidden="1">{#N/A,#N/A,FALSE,"Monthly SAIFI";#N/A,#N/A,FALSE,"Yearly SAIFI";#N/A,#N/A,FALSE,"Monthly CAIDI";#N/A,#N/A,FALSE,"Yearly CAIDI";#N/A,#N/A,FALSE,"Monthly SAIDI";#N/A,#N/A,FALSE,"Yearly SAIDI";#N/A,#N/A,FALSE,"Monthly MAIFI";#N/A,#N/A,FALSE,"Yearly MAIFI";#N/A,#N/A,FALSE,"Monthly Cust &gt;=4 Int"}</definedName>
    <definedName name="hhifgfcgfcg">#REF!</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IDN">#REF!</definedName>
    <definedName name="ImplementDate">#REF!</definedName>
    <definedName name="Include_OTRA_Kwhrs">[36]Inputs!#REF!</definedName>
    <definedName name="INCOME">#REF!</definedName>
    <definedName name="INSERTRANGE">#REF!</definedName>
    <definedName name="Instrat3">[5]Sheet2!$P$1:$P$4</definedName>
    <definedName name="int.rate">#REF!</definedName>
    <definedName name="interest">#REF!</definedName>
    <definedName name="interestrate">#REF!</definedName>
    <definedName name="INTSALE">#REF!</definedName>
    <definedName name="invdtrat">[5]Sheet2!$P$1:$P$4</definedName>
    <definedName name="InvStrat">[37]Sheet2!$P$1:$P$4</definedName>
    <definedName name="InvStratif">#REF!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"XLL"</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39420.5644328704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CM">#REF!</definedName>
    <definedName name="ISTITLE">#REF!</definedName>
    <definedName name="ISYTD">#REF!</definedName>
    <definedName name="IT">#REF!</definedName>
    <definedName name="IT_VP_name">#REF!</definedName>
    <definedName name="ITBU">#REF!</definedName>
    <definedName name="ITVP1">[38]Sheet2!$O$1:$O$6</definedName>
    <definedName name="ITVP2">[5]Sheet2!$O$1:$O$6</definedName>
    <definedName name="itvp5">[5]Sheet2!$O$1:$O$6</definedName>
    <definedName name="Jan_03">#REF!</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hyfesg">'[8]2005 CapEx (By VP By Dept) Budg'!$A$3:$P$431</definedName>
    <definedName name="John" hidden="1">{#N/A,#N/A,FALSE,"Monthly SAIFI";#N/A,#N/A,FALSE,"Yearly SAIFI";#N/A,#N/A,FALSE,"Monthly CAIDI";#N/A,#N/A,FALSE,"Yearly CAIDI";#N/A,#N/A,FALSE,"Monthly SAIDI";#N/A,#N/A,FALSE,"Yearly SAIDI";#N/A,#N/A,FALSE,"Monthly MAIFI";#N/A,#N/A,FALSE,"Yearly MAIFI";#N/A,#N/A,FALSE,"Monthly Cust &gt;=4 Int"}</definedName>
    <definedName name="Jul">#REF!</definedName>
    <definedName name="Jun">#REF!</definedName>
    <definedName name="k" hidden="1">{#N/A,#N/A,FALSE,"Monthly SAIFI";#N/A,#N/A,FALSE,"Yearly SAIFI";#N/A,#N/A,FALSE,"Monthly CAIDI";#N/A,#N/A,FALSE,"Yearly CAIDI";#N/A,#N/A,FALSE,"Monthly SAIDI";#N/A,#N/A,FALSE,"Yearly SAIDI";#N/A,#N/A,FALSE,"Monthly MAIFI";#N/A,#N/A,FALSE,"Yearly MAIFI";#N/A,#N/A,FALSE,"Monthly Cust &gt;=4 Int"}</definedName>
    <definedName name="K_kWh">#REF!</definedName>
    <definedName name="K1_AdminCredit_1of3">#REF!</definedName>
    <definedName name="K10_TransmissionCalculated">#REF!</definedName>
    <definedName name="K2_AdminCredit_2of3">#REF!</definedName>
    <definedName name="K3_AdminCredit_3of3">#REF!</definedName>
    <definedName name="K4_AdminCreditCalculated">#REF!</definedName>
    <definedName name="K5_Return">#REF!</definedName>
    <definedName name="K6_ProcurementCost_Suppliers">#REF!</definedName>
    <definedName name="K7_IncProcurementCost_Supplier">#REF!</definedName>
    <definedName name="K8_IncGenerationRevenue">#REF!</definedName>
    <definedName name="K9_Transmission">#REF!</definedName>
    <definedName name="ket_it">[5]Sheet2!$AE$1:$AE$24</definedName>
    <definedName name="Key_Stakeholder_Interface">#REF!</definedName>
    <definedName name="KeyCon_Close_Date">[16]Assumptions!$E$17</definedName>
    <definedName name="KeyE1" hidden="1">#REF!</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WH">'[39]UNBILLED KWH'!$A$1:$H$54</definedName>
    <definedName name="lastrow">'[4]QRE''s'!$A$95:$IV$95</definedName>
    <definedName name="limcount" hidden="1">1</definedName>
    <definedName name="Line_No.">#REF!</definedName>
    <definedName name="LMP">'[20]2002 - 2007 BGS FP Costs'!$B$150:$Q$245</definedName>
    <definedName name="LOAD_EST_PE">'[40]Load Estimates'!$A$2:$E$1006</definedName>
    <definedName name="LOAD_EST_PECCES">'[41]Load Estimates'!$O$1:$S$1000</definedName>
    <definedName name="LOAD_EST_PENYPA">'[42]Load Estimates'!$Z$1:$AC$1002</definedName>
    <definedName name="LOAD_EST_PERESH">'[43]Load Estimates'!$F$2:$I$1005</definedName>
    <definedName name="loilpuioopy" hidden="1">{#N/A,#N/A,FALSE,"Monthly SAIFI";#N/A,#N/A,FALSE,"Yearly SAIFI";#N/A,#N/A,FALSE,"Monthly CAIDI";#N/A,#N/A,FALSE,"Yearly CAIDI";#N/A,#N/A,FALSE,"Monthly SAIDI";#N/A,#N/A,FALSE,"Yearly SAIDI";#N/A,#N/A,FALSE,"Monthly MAIFI";#N/A,#N/A,FALSE,"Yearly MAIFI";#N/A,#N/A,FALSE,"Monthly Cust &gt;=4 Int"}</definedName>
    <definedName name="LONGBUDESCR">#REF!</definedName>
    <definedName name="LOOP_1">#REF!</definedName>
    <definedName name="LOOP_2">#REF!</definedName>
    <definedName name="LOOP_3">#REF!</definedName>
    <definedName name="LRP_Data">#REF!</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cro3">#REF!</definedName>
    <definedName name="Macro4">#REF!</definedName>
    <definedName name="Macro5">#REF!</definedName>
    <definedName name="MACROS">#REF!</definedName>
    <definedName name="Mar">#REF!</definedName>
    <definedName name="March_02">#REF!</definedName>
    <definedName name="May">#REF!</definedName>
    <definedName name="md">#REF!</definedName>
    <definedName name="mdcpd">#REF!</definedName>
    <definedName name="mdplr">'[44]DE PLR'!#REF!</definedName>
    <definedName name="mdytd">#REF!</definedName>
    <definedName name="Meet_Cost_Commitments">#REF!</definedName>
    <definedName name="Meet_Production_Commitments">#REF!</definedName>
    <definedName name="mgmfeparg">'[8]2005 CapEx (By VP By Dept) Budg'!$A$3:$P$431</definedName>
    <definedName name="MILESTONES_1">#REF!</definedName>
    <definedName name="MILESTONES_2">#REF!</definedName>
    <definedName name="modelgrheader">[4]Model!$A$3</definedName>
    <definedName name="modelqreheader">[4]Model!$A$78</definedName>
    <definedName name="MonAct">'[11]all EED O&amp;M BO data'!$E$2:$E$5000</definedName>
    <definedName name="MonBudVar">'[11]all EED O&amp;M BO data'!$H$2:$H$5000</definedName>
    <definedName name="MonQtrVar">'[11]all EED O&amp;M BO data'!$I$2:$I$5000</definedName>
    <definedName name="MONTH">#REF!</definedName>
    <definedName name="month1">'[45]Monthly Bill Data'!$AC$49:$AO$102</definedName>
    <definedName name="MonthlyCFBUD">#REF!</definedName>
    <definedName name="MonthlyCFLE">#REF!</definedName>
    <definedName name="MTC">'[19]MTC Deferral'!$P$6:$CI$169</definedName>
    <definedName name="MTC_Type">#REF!</definedName>
    <definedName name="NDCA">#REF!</definedName>
    <definedName name="New">#REF!</definedName>
    <definedName name="new_98_IS">#REF!,#REF!,#REF!</definedName>
    <definedName name="New_99_IS">'[46]2nd qtr 2000'!$A$1:$I$58,'[46]2nd qtr 2000'!$K$1:$T$58,'[46]2nd qtr 2000'!$V$1:$AI$58</definedName>
    <definedName name="New_BS">#REF!,#REF!,#REF!</definedName>
    <definedName name="NEXT_STEP">[4]Comparison!$CK$14</definedName>
    <definedName name="nono" hidden="1">{#N/A,#N/A,FALSE,"O&amp;M by processes";#N/A,#N/A,FALSE,"Elec Act vs Bud";#N/A,#N/A,FALSE,"G&amp;A";#N/A,#N/A,FALSE,"BGS";#N/A,#N/A,FALSE,"Res Cost"}</definedName>
    <definedName name="NORTHEAST">#REF!</definedName>
    <definedName name="NORTHWEST">#REF!</definedName>
    <definedName name="Nov">#REF!</definedName>
    <definedName name="Nuclear">#REF!</definedName>
    <definedName name="NUGS">'[19]NNC Deferral'!$AD$7:$CW$42</definedName>
    <definedName name="NvsASD">"V2001-08-31"</definedName>
    <definedName name="NvsAutoDrillOk">"VN"</definedName>
    <definedName name="NvsElapsedTime">0.0000724537021596916</definedName>
    <definedName name="NvsEndTime">36817.4223792824</definedName>
    <definedName name="NvsInstSpec">"%,LACTUALS,SBAL,R,FACCOUNT,V275900,FBUSINESS_UNIT,V10200"</definedName>
    <definedName name="NvsLayoutType">"M3"</definedName>
    <definedName name="NvsNplSpec">"%,XZF.ACCOUNT.PSDetail"</definedName>
    <definedName name="NvsPanelEffdt">"V1995-01-01"</definedName>
    <definedName name="NvsPanelSetid">"VMFG"</definedName>
    <definedName name="NvsParentRef">[47]Sheet1!$E$266</definedName>
    <definedName name="NvsReqBU">"V10200"</definedName>
    <definedName name="NvsReqBUOnly">"VN"</definedName>
    <definedName name="NvsTransLed">"VN"</definedName>
    <definedName name="NvsTreeASD">"V2001-08-31"</definedName>
    <definedName name="NvsValTbl.ACCOUNT">"GL_ACCOUNT_TBL"</definedName>
    <definedName name="NvsValTbl.BUSINESS_UNIT">"BUS_UNIT_TBL_GL"</definedName>
    <definedName name="NvsValTbl.CURRENCY_CD">"CURRENCY_CD_TBL"</definedName>
    <definedName name="OBRADR">#REF!</definedName>
    <definedName name="Oct">#REF!</definedName>
    <definedName name="OMA">'[24]ACT O M'!$D$7:$T$32</definedName>
    <definedName name="OMB">'[24]BUD O M'!$D$7:$O$32</definedName>
    <definedName name="one">#REF!,#REF!,#REF!</definedName>
    <definedName name="ONM">#REF!</definedName>
    <definedName name="Operational_Excellence_">#REF!</definedName>
    <definedName name="Operational_Execution_And_Safety">#REF!</definedName>
    <definedName name="OPR">'[10]PECO Bal Sht'!#REF!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A">#REF!</definedName>
    <definedName name="PAGEC">#REF!</definedName>
    <definedName name="PAGEE">#REF!</definedName>
    <definedName name="pe">[4]Print!$A$2</definedName>
    <definedName name="PECO_LABS_FUELS_ALL">#REF!</definedName>
    <definedName name="peco1">'[8]2005 CapEx (By VP By Dept) Budg'!$A$3:$P$382</definedName>
    <definedName name="peco2">'[8]2005 CapEx (By VP By Dept) Budg'!$A$3:$P$382</definedName>
    <definedName name="pecobod45">'[8]2005 CapEx (By VP By Dept) Budg'!$A$3:$P$383</definedName>
    <definedName name="pecomfr3">'[8]2005 CapEx (By VP By Dept) Budg'!$A$3:$P$382</definedName>
    <definedName name="pension">#REF!</definedName>
    <definedName name="PER">#REF!</definedName>
    <definedName name="Perf_Ratings">'[48]Perf Ratings'!$A$8:$IV$18</definedName>
    <definedName name="PGCOUNT">'[10]PECO Bal Sht'!#REF!</definedName>
    <definedName name="pgm_pri1">[5]Sheet2!$AF$1:$AF$3</definedName>
    <definedName name="Phase">'[4]Macro Tables'!$F$21</definedName>
    <definedName name="PHASE_HELP">#REF!</definedName>
    <definedName name="PLACE_HOLD">#REF!</definedName>
    <definedName name="PostTransReturn">[20]Assumptions!$D$58</definedName>
    <definedName name="POTOMAC_ELECTRIC_POWER_COMPANY">#REF!</definedName>
    <definedName name="PowerTeam">#REF!</definedName>
    <definedName name="PPACOST">'[17]BGS Deferral'!#REF!</definedName>
    <definedName name="PreTaxDebt">[16]Assumptions!$F$60</definedName>
    <definedName name="Pri">#REF!</definedName>
    <definedName name="Print_98_IS">#REF!,#REF!,#REF!</definedName>
    <definedName name="Print_99_IS">'[46]2nd qtr 2000'!$D$1:$I$58,'[46]2nd qtr 2000'!$N$1:$T$58,'[46]2nd qtr 2000'!$AA$1:$AH$57</definedName>
    <definedName name="_xlnm.Print_Area" localSheetId="1">'Ap B - Qtr Electric Master (2)'!$A$1:$R$43</definedName>
    <definedName name="_xlnm.Print_Area" localSheetId="4">'Qtr Electric Business Class'!$A$1:$I$22</definedName>
    <definedName name="_xlnm.Print_Area" localSheetId="3">'Qtr Electric LMI'!$A$1:$I$29</definedName>
    <definedName name="_xlnm.Print_Area" localSheetId="2">'Qtr Electric Master'!$A$1:$R$43</definedName>
    <definedName name="_xlnm.Print_Area">#REF!</definedName>
    <definedName name="Print_Area_MI">#REF!</definedName>
    <definedName name="print_area03">#REF!</definedName>
    <definedName name="Print_Area1">#REF!</definedName>
    <definedName name="Print_BS">#REF!,#REF!,#REF!</definedName>
    <definedName name="PRINT_SET_UP">#REF!</definedName>
    <definedName name="Print_TFI_use">'[49]TFI use'!$A$1:$P$40,'[49]TFI use'!$A$42:$P$65,'[49]TFI use'!$A$67:$R$84</definedName>
    <definedName name="_xlnm.Print_Titles">#N/A</definedName>
    <definedName name="Prior">#REF!</definedName>
    <definedName name="PriorQTREnd">[22]SETUP!#REF!</definedName>
    <definedName name="Profitability_">#REF!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Y_ytd">[9]Administrator!$I$60</definedName>
    <definedName name="pymonth">[22]SETUP!$C$26</definedName>
    <definedName name="q">#REF!</definedName>
    <definedName name="QES">'[4]Gross_Rec:QRE''s'!$B$53:$N$112</definedName>
    <definedName name="qre">'[50]IDR 15'!$A$1:$H$214</definedName>
    <definedName name="QRE_HELP">#REF!</definedName>
    <definedName name="QRE_MARGINS">#REF!</definedName>
    <definedName name="QRE_SUMMARY">'[4]QRE''s'!$A$7:$R$102</definedName>
    <definedName name="qsqe">#REF!</definedName>
    <definedName name="QuarterEndDate">[22]SETUP!#REF!</definedName>
    <definedName name="Range1">'[31]One Year Credit Facility'!$A$23:$D$34</definedName>
    <definedName name="Range10">#REF!</definedName>
    <definedName name="Range11">#REF!</definedName>
    <definedName name="Range12">#REF!</definedName>
    <definedName name="Range13">#REF!</definedName>
    <definedName name="Range14">#REF!</definedName>
    <definedName name="Range15">#REF!</definedName>
    <definedName name="Range16">#REF!</definedName>
    <definedName name="Range17">#REF!</definedName>
    <definedName name="Range18">#REF!</definedName>
    <definedName name="Range19">#REF!</definedName>
    <definedName name="Range2">#REF!</definedName>
    <definedName name="Range20">#REF!</definedName>
    <definedName name="Range21">#REF!</definedName>
    <definedName name="Range22">#REF!</definedName>
    <definedName name="Range23">#REF!</definedName>
    <definedName name="Range24">#REF!</definedName>
    <definedName name="Range25">#REF!</definedName>
    <definedName name="Range26">#REF!</definedName>
    <definedName name="Range27">#REF!</definedName>
    <definedName name="Range28">#REF!</definedName>
    <definedName name="Range29">#REF!</definedName>
    <definedName name="Range3">'[31]Three Year Credit Facility'!$A$22:$D$57</definedName>
    <definedName name="Range30">#REF!</definedName>
    <definedName name="Range31">#REF!</definedName>
    <definedName name="Range32">#REF!</definedName>
    <definedName name="Range33">#REF!</definedName>
    <definedName name="Range34">#REF!</definedName>
    <definedName name="Range35">#REF!</definedName>
    <definedName name="Range36">#REF!</definedName>
    <definedName name="Range37">#REF!</definedName>
    <definedName name="Range38">#REF!</definedName>
    <definedName name="Range39">#REF!</definedName>
    <definedName name="Range4">#REF!</definedName>
    <definedName name="Range40">#REF!</definedName>
    <definedName name="Range41">#REF!</definedName>
    <definedName name="Range5">#REF!</definedName>
    <definedName name="Range6">#REF!</definedName>
    <definedName name="Range7">#REF!</definedName>
    <definedName name="Range8">#REF!</definedName>
    <definedName name="Range9">#REF!</definedName>
    <definedName name="Rate_Cap_Off">[16]Assumptions!$E$33</definedName>
    <definedName name="Rate_Reduction_Factor">#REF!</definedName>
    <definedName name="rate90">[4]Model!$I$175</definedName>
    <definedName name="rate91">[4]Model!$J$175</definedName>
    <definedName name="rate92">[4]Model!$K$175</definedName>
    <definedName name="rate93">[4]Model!$L$175</definedName>
    <definedName name="rate94">[4]Model!$M$175</definedName>
    <definedName name="rate95">[4]Model!$N$175</definedName>
    <definedName name="rate96">[4]Model!$O$175</definedName>
    <definedName name="rate97">[4]Model!$P$175</definedName>
    <definedName name="rate98">[4]Model!$Q$175</definedName>
    <definedName name="RBU">'[10]PECO Bal Sht'!#REF!</definedName>
    <definedName name="reawreqw" hidden="1">{#N/A,#N/A,FALSE,"Monthly SAIFI";#N/A,#N/A,FALSE,"Yearly SAIFI";#N/A,#N/A,FALSE,"Monthly CAIDI";#N/A,#N/A,FALSE,"Yearly CAIDI";#N/A,#N/A,FALSE,"Monthly SAIDI";#N/A,#N/A,FALSE,"Yearly SAIDI";#N/A,#N/A,FALSE,"Monthly MAIFI";#N/A,#N/A,FALSE,"Yearly MAIFI";#N/A,#N/A,FALSE,"Monthly Cust &gt;=4 Int"}</definedName>
    <definedName name="_xlnm.Recorder">#REF!</definedName>
    <definedName name="Recover">[19]Assumptions!$E$36</definedName>
    <definedName name="reduced_credit">[4]Print!$I$22</definedName>
    <definedName name="reduced_credit_caption">[4]Print!$G$22</definedName>
    <definedName name="Refresh_Report" localSheetId="1">[27]!Refresh_Report</definedName>
    <definedName name="Refresh_Report">[27]!Refresh_Report</definedName>
    <definedName name="REPORT_SELECT">#REF!</definedName>
    <definedName name="REPORT_TABLE">#REF!</definedName>
    <definedName name="ReportingDate">[21]SETUP!$C$11</definedName>
    <definedName name="RESALE_CUSTOMERS">#REF!</definedName>
    <definedName name="RESALE_LINES">#REF!</definedName>
    <definedName name="RESET_SENS_FACT">#REF!</definedName>
    <definedName name="Restructure_Amort">'[16]Restructuring Amort.'!$A$7:$V$105</definedName>
    <definedName name="RETURN">#REF!</definedName>
    <definedName name="RID">#REF!</definedName>
    <definedName name="ROA">#REF!</definedName>
    <definedName name="RPA">[19]Assumptions!$E$46</definedName>
    <definedName name="rwrw">#REF!</definedName>
    <definedName name="saaaagd">'[8]2005 CapEx (By VP By Dept) Budg'!$A$3:$P$431</definedName>
    <definedName name="saaanghvi21">'[8]2005 CapEx (By VP By Dept) Budg'!$A$3:$P$431</definedName>
    <definedName name="safasdfsad">'[8]2005 CapEx (By VP By Dept) Budg'!$A$3:$P$431</definedName>
    <definedName name="Safety_Workforce_Eff_">#REF!</definedName>
    <definedName name="saff">'[8]2005 CapEx (By VP By Dept) Budg'!$A$3:$P$431</definedName>
    <definedName name="safsafs">#REF!</definedName>
    <definedName name="safsfsad">#REF!</definedName>
    <definedName name="safsgfsdf">'[8]2005 CapEx (By VP By Dept) Budg'!$A$3:$P$431</definedName>
    <definedName name="Sales">'[16]ACE 25 Year Sales Forecast'!$A$90:$EA$100</definedName>
    <definedName name="salkgasgs">'[8]2005 CapEx (By VP By Dept) Budg'!$A$3:$P$431</definedName>
    <definedName name="sanahgsg">'[8]2005 CapEx (By VP By Dept) Budg'!$A$3:$P$431</definedName>
    <definedName name="sangg">'[8]2005 CapEx (By VP By Dept) Budg'!$A$3:$P$431</definedName>
    <definedName name="sangh">#REF!</definedName>
    <definedName name="sanghiii">'[8]2005 CapEx (By VP By Dept) Budg'!$A$3:$P$431</definedName>
    <definedName name="sanghvi">'[8]2005 CapEx (By VP By Dept) Budg'!$A$3:$P$431</definedName>
    <definedName name="sanghvi215">#REF!</definedName>
    <definedName name="sanghvi231">'[8]2005 CapEx (By VP By Dept) Budg'!$A$3:$P$431</definedName>
    <definedName name="sanghvi232">#REF!</definedName>
    <definedName name="sanghvi2323">#REF!</definedName>
    <definedName name="SAPBEXhrIndnt" hidden="1">"Wide"</definedName>
    <definedName name="SAPBEXrevision" hidden="1">18</definedName>
    <definedName name="SAPBEXsysID" hidden="1">"BWP"</definedName>
    <definedName name="SAPBEXwbID" hidden="1">"3PHPFV8FO7PRQRDHFGKHVVOKV"</definedName>
    <definedName name="SAPsysID" hidden="1">"708C5W7SBKP804JT78WJ0JNKI"</definedName>
    <definedName name="SAPwbID" hidden="1">"ARS"</definedName>
    <definedName name="sasas">'[8]2005 CapEx (By VP By Dept) Budg'!$A$3:$P$431</definedName>
    <definedName name="saSAsa" hidden="1">{#N/A,#N/A,FALSE,"Monthly SAIFI";#N/A,#N/A,FALSE,"Yearly SAIFI";#N/A,#N/A,FALSE,"Monthly CAIDI";#N/A,#N/A,FALSE,"Yearly CAIDI";#N/A,#N/A,FALSE,"Monthly SAIDI";#N/A,#N/A,FALSE,"Yearly SAIDI";#N/A,#N/A,FALSE,"Monthly MAIFI";#N/A,#N/A,FALSE,"Yearly MAIFI";#N/A,#N/A,FALSE,"Monthly Cust &gt;=4 Int"}</definedName>
    <definedName name="sasg">#REF!</definedName>
    <definedName name="SBC_Amort">'[19]SBC Over Recovery Amort'!$A$14:$F$67</definedName>
    <definedName name="SBU_SHEET_HELP">#REF!</definedName>
    <definedName name="sch.A">#REF!</definedName>
    <definedName name="sch.b._FERC_ICC">#REF!</definedName>
    <definedName name="Schedule_CC1">[4]Model!$A$1:$IV$75</definedName>
    <definedName name="Schedule_CC2">[4]Model!$A$76:$IV$151</definedName>
    <definedName name="Schedule_CC3">[4]Model!$A$152:$IV$207</definedName>
    <definedName name="SCHUYLKILL">#REF!</definedName>
    <definedName name="sdajsadf">'[8]2005 CapEx (By VP By Dept) Budg'!$A$3:$P$431</definedName>
    <definedName name="sdasda">#REF!</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dfafsdf">'[8]2005 CapEx (By VP By Dept) Budg'!$A$3:$P$431</definedName>
    <definedName name="sdfafsd">#REF!</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asfasfasfsdf">#REF!</definedName>
    <definedName name="sdfasfsf">#REF!</definedName>
    <definedName name="sdfdfafaf">'[8]2005 CapEx (By VP By Dept) Budg'!$A$3:$P$431</definedName>
    <definedName name="sdfdfsf">#REF!</definedName>
    <definedName name="sdfds" hidden="1">{#N/A,#N/A,FALSE,"Monthly SAIFI";#N/A,#N/A,FALSE,"Yearly SAIFI";#N/A,#N/A,FALSE,"Monthly CAIDI";#N/A,#N/A,FALSE,"Yearly CAIDI";#N/A,#N/A,FALSE,"Monthly SAIDI";#N/A,#N/A,FALSE,"Yearly SAIDI";#N/A,#N/A,FALSE,"Monthly MAIFI";#N/A,#N/A,FALSE,"Yearly MAIFI";#N/A,#N/A,FALSE,"Monthly Cust &gt;=4 Int"}</definedName>
    <definedName name="sdffsfaf">#REF!</definedName>
    <definedName name="sdfsadfsf">#REF!</definedName>
    <definedName name="sdfsdfafasf">'[8]2005 CapEx (By VP By Dept) Budg'!$A$3:$P$431</definedName>
    <definedName name="sdfsdfdfdf">#REF!</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#REF!</definedName>
    <definedName name="sdfsdfsdasdfsd">#REF!</definedName>
    <definedName name="sdfsdfsdf">'[8]2005 CapEx (By VP By Dept) Budg'!$A$3:$P$431</definedName>
    <definedName name="sdfsdfsdfsdfsdf">#REF!</definedName>
    <definedName name="sdfsdfsfsa" hidden="1">{#N/A,#N/A,FALSE,"Monthly SAIFI";#N/A,#N/A,FALSE,"Yearly SAIFI";#N/A,#N/A,FALSE,"Monthly CAIDI";#N/A,#N/A,FALSE,"Yearly CAIDI";#N/A,#N/A,FALSE,"Monthly SAIDI";#N/A,#N/A,FALSE,"Yearly SAIDI";#N/A,#N/A,FALSE,"Monthly MAIFI";#N/A,#N/A,FALSE,"Yearly MAIFI";#N/A,#N/A,FALSE,"Monthly Cust &gt;=4 Int"}</definedName>
    <definedName name="sdfsf">#REF!</definedName>
    <definedName name="sdgf" hidden="1">#REF!</definedName>
    <definedName name="sdgrsdfsfsdsd">'[8]2005 CapEx (By VP By Dept) Budg'!$A$3:$P$431</definedName>
    <definedName name="sdsdsa">#REF!</definedName>
    <definedName name="sdsdsddsf">'[8]2005 CapEx (By VP By Dept) Budg'!$A$3:$P$431</definedName>
    <definedName name="sefasdfasdfsdf">'[8]2005 CapEx (By VP By Dept) Budg'!$A$3:$P$431</definedName>
    <definedName name="SENS_DATA_RTN">#REF!</definedName>
    <definedName name="SENS_MESSAGE">#REF!</definedName>
    <definedName name="SENS_NET_CREDIT">[4]Sens_Model!$E$193</definedName>
    <definedName name="Sep">#REF!</definedName>
    <definedName name="SepNEW">#REF!</definedName>
    <definedName name="Sept">#REF!</definedName>
    <definedName name="SERP">#REF!</definedName>
    <definedName name="sf">#REF!</definedName>
    <definedName name="SFDD">'[10]PECO Bal Sht'!#REF!</definedName>
    <definedName name="sffsfa" hidden="1">{#N/A,#N/A,FALSE,"Monthly SAIFI";#N/A,#N/A,FALSE,"Yearly SAIFI";#N/A,#N/A,FALSE,"Monthly CAIDI";#N/A,#N/A,FALSE,"Yearly CAIDI";#N/A,#N/A,FALSE,"Monthly SAIDI";#N/A,#N/A,FALSE,"Yearly SAIDI";#N/A,#N/A,FALSE,"Monthly MAIFI";#N/A,#N/A,FALSE,"Yearly MAIFI";#N/A,#N/A,FALSE,"Monthly Cust &gt;=4 Int"}</definedName>
    <definedName name="sfsd">#REF!</definedName>
    <definedName name="sfsdfasf">#REF!</definedName>
    <definedName name="sfsdfsafsf">#REF!</definedName>
    <definedName name="sfsdfsdf">#REF!</definedName>
    <definedName name="sfsdfsfsfsd">#REF!</definedName>
    <definedName name="sfsf">'[8]2005 CapEx (By VP By Dept) Budg'!$A$3:$P$431</definedName>
    <definedName name="sfsfasfsdfsdf">'[8]2005 CapEx (By VP By Dept) Budg'!$A$3:$P$431</definedName>
    <definedName name="SFSFD" hidden="1">{#N/A,#N/A,FALSE,"Monthly SAIFI";#N/A,#N/A,FALSE,"Yearly SAIFI";#N/A,#N/A,FALSE,"Monthly CAIDI";#N/A,#N/A,FALSE,"Yearly CAIDI";#N/A,#N/A,FALSE,"Monthly SAIDI";#N/A,#N/A,FALSE,"Yearly SAIDI";#N/A,#N/A,FALSE,"Monthly MAIFI";#N/A,#N/A,FALSE,"Yearly MAIFI";#N/A,#N/A,FALSE,"Monthly Cust &gt;=4 Int"}</definedName>
    <definedName name="sfsfs">'[8]2005 CapEx (By VP By Dept) Budg'!$A$3:$P$431</definedName>
    <definedName name="sfsfsf">#REF!</definedName>
    <definedName name="sfsssr">#REF!</definedName>
    <definedName name="SFVD">'[10]PECO Bal Sht'!#REF!</definedName>
    <definedName name="sgggggkjjkkj">#REF!</definedName>
    <definedName name="SharedSVC_Data">[26]Walt_CCTR_Detail!$B$5:$H$723</definedName>
    <definedName name="shedulecc1">[4]Model!$A$1:$IV$68</definedName>
    <definedName name="Sheet1" hidden="1">{#N/A,#N/A,FALSE,"Monthly SAIFI";#N/A,#N/A,FALSE,"Yearly SAIFI";#N/A,#N/A,FALSE,"Monthly CAIDI";#N/A,#N/A,FALSE,"Yearly CAIDI";#N/A,#N/A,FALSE,"Monthly SAIDI";#N/A,#N/A,FALSE,"Yearly SAIDI";#N/A,#N/A,FALSE,"Monthly MAIFI";#N/A,#N/A,FALSE,"Yearly MAIFI";#N/A,#N/A,FALSE,"Monthly Cust &gt;=4 Int"}</definedName>
    <definedName name="SLA_Unit_Cost">#REF!</definedName>
    <definedName name="slldk" hidden="1">{#N/A,#N/A,FALSE,"Monthly SAIFI";#N/A,#N/A,FALSE,"Yearly SAIFI";#N/A,#N/A,FALSE,"Monthly CAIDI";#N/A,#N/A,FALSE,"Yearly CAIDI";#N/A,#N/A,FALSE,"Monthly SAIDI";#N/A,#N/A,FALSE,"Yearly SAIDI";#N/A,#N/A,FALSE,"Monthly MAIFI";#N/A,#N/A,FALSE,"Yearly MAIFI";#N/A,#N/A,FALSE,"Monthly Cust &gt;=4 Int"}</definedName>
    <definedName name="SMRPEast">'[25]SMRP Results'!$H$28:$I$34</definedName>
    <definedName name="SMRPWest">'[25]SMRP Results'!$H$37:$I$43</definedName>
    <definedName name="snfsdfs">'[8]2005 CapEx (By VP By Dept) Budg'!$A$3:$P$431</definedName>
    <definedName name="snghviw">'[8]2005 CapEx (By VP By Dept) Budg'!$A$3:$P$431</definedName>
    <definedName name="solver_adj" hidden="1">#REF!,#REF!,#REF!,#REF!,#REF!,#REF!,#REF!</definedName>
    <definedName name="solver_lin" hidden="1">0</definedName>
    <definedName name="solver_num" hidden="1">0</definedName>
    <definedName name="solver_tmp" hidden="1">#REF!,#REF!,#REF!,#REF!,#REF!,#REF!,#REF!</definedName>
    <definedName name="solver_typ" hidden="1">1</definedName>
    <definedName name="solver_val" hidden="1">0</definedName>
    <definedName name="SortE" hidden="1">#REF!</definedName>
    <definedName name="SOUTH">#REF!</definedName>
    <definedName name="SPSet">"current"</definedName>
    <definedName name="SPWS_WBID">"5212E8AE-A962-4131-8FBC-A40040E9ED32"</definedName>
    <definedName name="SSA">[17]Assumptions!#REF!</definedName>
    <definedName name="start84">'[4]QRE''s'!$D$8</definedName>
    <definedName name="start85">'[4]QRE''s'!$E$8</definedName>
    <definedName name="start86">'[4]QRE''s'!$F$8</definedName>
    <definedName name="start87">'[4]QRE''s'!$G$8</definedName>
    <definedName name="start88">'[4]QRE''s'!$H$8</definedName>
    <definedName name="start89">'[4]QRE''s'!$I$8</definedName>
    <definedName name="start90">'[4]QRE''s'!$J$8</definedName>
    <definedName name="start91">'[4]QRE''s'!$K$8</definedName>
    <definedName name="start92">'[4]QRE''s'!$L$8</definedName>
    <definedName name="start93">'[4]QRE''s'!$M$8</definedName>
    <definedName name="start94">'[4]QRE''s'!$N$8</definedName>
    <definedName name="start95">'[4]QRE''s'!$O$8</definedName>
    <definedName name="start96">'[4]QRE''s'!$P$8</definedName>
    <definedName name="start97">'[4]QRE''s'!$Q$8</definedName>
    <definedName name="start98">'[4]QRE''s'!$R$8</definedName>
    <definedName name="StartDate">#REF!</definedName>
    <definedName name="startdate2">[5]Sheet2!$Q$1:$Q$17</definedName>
    <definedName name="startdte">[5]Sheet2!$Q$1:$Q$17</definedName>
    <definedName name="startdte4">[5]Sheet2!$Q$1:$Q$17</definedName>
    <definedName name="State_Tax_Rate">[16]Assumptions!$E$27</definedName>
    <definedName name="summary">[4]Model!$A$182:$E$200</definedName>
    <definedName name="summary_caution">[4]Model!$A$202:$IV$207</definedName>
    <definedName name="SUT">#REF!</definedName>
    <definedName name="Swap_Amort">'[16]Keystone Swap Amort Sched'!$A$1:$F$241</definedName>
    <definedName name="Sx">#REF!</definedName>
    <definedName name="T">[1]JobDefinition!#REF!</definedName>
    <definedName name="TABLE">#REF!</definedName>
    <definedName name="Tacx_Factor">[51]Assumptions!$E$33</definedName>
    <definedName name="TaxBasis">[19]Assumptions!$E$42</definedName>
    <definedName name="TBC">'[16]TBC Rate Summary'!$C$3:$BV$21</definedName>
    <definedName name="tblCharts">'[4]Macro Tables'!$I$5:$I$16</definedName>
    <definedName name="tblHelp">'[4]Macro Tables'!$N$5:$N$16</definedName>
    <definedName name="tblReports">'[4]Macro Tables'!$B$5:$B$16</definedName>
    <definedName name="tblWorksheets">'[4]Macro Tables'!$E$5:$E$16</definedName>
    <definedName name="TEFA">#REF!</definedName>
    <definedName name="TEST">#REF!</definedName>
    <definedName name="TEST0">#REF!</definedName>
    <definedName name="test1">#REF!</definedName>
    <definedName name="TESTHKEY">#REF!</definedName>
    <definedName name="TESTKEYS">#REF!</definedName>
    <definedName name="TESTVKEY">#REF!</definedName>
    <definedName name="three">#REF!,#REF!,#REF!</definedName>
    <definedName name="TOTAL">#REF!</definedName>
    <definedName name="TOTAL_CUSTOMERS">#REF!</definedName>
    <definedName name="TOTAL_LINES">#REF!</definedName>
    <definedName name="total84">'[4]QRE''s'!$D$96</definedName>
    <definedName name="total85">'[4]QRE''s'!$E$96</definedName>
    <definedName name="total86">'[4]QRE''s'!$F$96</definedName>
    <definedName name="total87">'[4]QRE''s'!$G$96</definedName>
    <definedName name="total88">'[4]QRE''s'!$H$96</definedName>
    <definedName name="total89">'[4]QRE''s'!$I$96</definedName>
    <definedName name="total90">'[4]QRE''s'!$J$96</definedName>
    <definedName name="total91">'[4]QRE''s'!$K$96</definedName>
    <definedName name="total92">'[4]QRE''s'!$L$96</definedName>
    <definedName name="total93">'[4]QRE''s'!$M$96</definedName>
    <definedName name="total94">'[4]QRE''s'!$N$96</definedName>
    <definedName name="total95">'[4]QRE''s'!$O$96</definedName>
    <definedName name="total96">'[4]QRE''s'!$P$96</definedName>
    <definedName name="total97">'[4]QRE''s'!$Q$96</definedName>
    <definedName name="total98">'[4]QRE''s'!$R$96</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ransco">#REF!</definedName>
    <definedName name="transcosts">[19]Assumptions!$E$43</definedName>
    <definedName name="Tree">#REF!</definedName>
    <definedName name="TWELVE">#REF!</definedName>
    <definedName name="two">#REF!,#REF!,#REF!</definedName>
    <definedName name="TypeCost">'[11]all EED O&amp;M BO data'!$V$2:$V$5000</definedName>
    <definedName name="tyty" hidden="1">{#N/A,#N/A,FALSE,"Monthly SAIFI";#N/A,#N/A,FALSE,"Yearly SAIFI";#N/A,#N/A,FALSE,"Monthly CAIDI";#N/A,#N/A,FALSE,"Yearly CAIDI";#N/A,#N/A,FALSE,"Monthly SAIDI";#N/A,#N/A,FALSE,"Yearly SAIDI";#N/A,#N/A,FALSE,"Monthly MAIFI";#N/A,#N/A,FALSE,"Yearly MAIFI";#N/A,#N/A,FALSE,"Monthly Cust &gt;=4 Int"}</definedName>
    <definedName name="under" hidden="1">{#N/A,#N/A,TRUE,"TAXPROV";#N/A,#N/A,TRUE,"FLOWTHRU";#N/A,#N/A,TRUE,"SCHEDULE M'S";#N/A,#N/A,TRUE,"PLANT M'S";#N/A,#N/A,TRUE,"TAXJE"}</definedName>
    <definedName name="UTILRANGE">#REF!</definedName>
    <definedName name="va">#REF!</definedName>
    <definedName name="vacpd">#REF!</definedName>
    <definedName name="ValidData">#REF!</definedName>
    <definedName name="ValuationYear">'[52]FAS 87'!$B$3</definedName>
    <definedName name="vaplr">#REF!</definedName>
    <definedName name="vaytd">#REF!</definedName>
    <definedName name="vcbcvbcv" hidden="1">{#N/A,#N/A,FALSE,"Monthly SAIFI";#N/A,#N/A,FALSE,"Yearly SAIFI";#N/A,#N/A,FALSE,"Monthly CAIDI";#N/A,#N/A,FALSE,"Yearly CAIDI";#N/A,#N/A,FALSE,"Monthly SAIDI";#N/A,#N/A,FALSE,"Yearly SAIDI";#N/A,#N/A,FALSE,"Monthly MAIFI";#N/A,#N/A,FALSE,"Yearly MAIFI";#N/A,#N/A,FALSE,"Monthly Cust &gt;=4 Int"}</definedName>
    <definedName name="vxcvxc">'[8]2005 CapEx (By VP By Dept) Budg'!$A$3:$P$431</definedName>
    <definedName name="vxcvxcvx">'[8]2005 CapEx (By VP By Dept) Budg'!$A$3:$P$431</definedName>
    <definedName name="vxvxvxcvxc">'[8]2005 CapEx (By VP By Dept) Budg'!$A$3:$P$431</definedName>
    <definedName name="vxzvxcvxzcvxcv">'[8]2005 CapEx (By VP By Dept) Budg'!$A$3:$P$431</definedName>
    <definedName name="wearwerawer">#REF!</definedName>
    <definedName name="wer" hidden="1">{#N/A,#N/A,FALSE,"Monthly SAIFI";#N/A,#N/A,FALSE,"Yearly SAIFI";#N/A,#N/A,FALSE,"Monthly CAIDI";#N/A,#N/A,FALSE,"Yearly CAIDI";#N/A,#N/A,FALSE,"Monthly SAIDI";#N/A,#N/A,FALSE,"Yearly SAIDI";#N/A,#N/A,FALSE,"Monthly MAIFI";#N/A,#N/A,FALSE,"Yearly MAIFI";#N/A,#N/A,FALSE,"Monthly Cust &gt;=4 Int"}</definedName>
    <definedName name="werw3">#REF!</definedName>
    <definedName name="werwerwe">#REF!</definedName>
    <definedName name="WESTERN">#REF!</definedName>
    <definedName name="what" hidden="1">{#N/A,#N/A,FALSE,"O&amp;M by processes";#N/A,#N/A,FALSE,"Elec Act vs Bud";#N/A,#N/A,FALSE,"G&amp;A";#N/A,#N/A,FALSE,"BGS";#N/A,#N/A,FALSE,"Res Cost"}</definedName>
    <definedName name="what09" hidden="1">{#N/A,#N/A,FALSE,"O&amp;M by processes";#N/A,#N/A,FALSE,"Elec Act vs Bud";#N/A,#N/A,FALSE,"G&amp;A";#N/A,#N/A,FALSE,"BGS";#N/A,#N/A,FALSE,"Res Cost"}</definedName>
    <definedName name="Whatwhat" hidden="1">{#N/A,#N/A,FALSE,"O&amp;M by processes";#N/A,#N/A,FALSE,"Elec Act vs Bud";#N/A,#N/A,FALSE,"G&amp;A";#N/A,#N/A,FALSE,"BGS";#N/A,#N/A,FALSE,"Res Cost"}</definedName>
    <definedName name="Whatwhat09" hidden="1">{#N/A,#N/A,FALSE,"O&amp;M by processes";#N/A,#N/A,FALSE,"Elec Act vs Bud";#N/A,#N/A,FALSE,"G&amp;A";#N/A,#N/A,FALSE,"BGS";#N/A,#N/A,FALSE,"Res Cost"}</definedName>
    <definedName name="whatwhat2009" hidden="1">{#N/A,#N/A,FALSE,"O&amp;M by processes";#N/A,#N/A,FALSE,"Elec Act vs Bud";#N/A,#N/A,FALSE,"G&amp;A";#N/A,#N/A,FALSE,"BGS";#N/A,#N/A,FALSE,"Res Cost"}</definedName>
    <definedName name="Workforce">#REF!</definedName>
    <definedName name="wrn.Aging._.and._.Trend._.Analysis." hidden="1">{#N/A,#N/A,FALSE,"Aging Summary";#N/A,#N/A,FALSE,"Ratio Analysis";#N/A,#N/A,FALSE,"Test 120 Day Accts";#N/A,#N/A,FALSE,"Tickmarks"}</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Filing." hidden="1">{"2002 Scedule A Revenue Proof",#N/A,FALSE,"Schedule A";"2002 Rate Detail",#N/A,FALSE,"Schedule B";"2002 Light Rates Page 1",#N/A,FALSE,"Schedule B";"2002 Light Rates Page 2",#N/A,FALSE,"Schedule B";"Schedule C",#N/A,FALSE,"Schedule C"}</definedName>
    <definedName name="wrn.Basic." hidden="1">{#N/A,#N/A,FALSE,"O&amp;M by processes";#N/A,#N/A,FALSE,"Elec Act vs Bud";#N/A,#N/A,FALSE,"G&amp;A";#N/A,#N/A,FALSE,"BGS";#N/A,#N/A,FALSE,"Res Cost"}</definedName>
    <definedName name="wrn.CFC._.QUARTER." localSheetId="1" hidden="1">{"CFC COMPARISON",#N/A,FALSE,"CFCCOMP";"CREDIT LETTER",#N/A,FALSE,"CFCCOMP";"DEBT OBLIGATION",#N/A,FALSE,"CFCCOMP";"OFFICERS CERTIFICATE",#N/A,FALSE,"CFCCOMP"}</definedName>
    <definedName name="wrn.CFC._.QUARTER." localSheetId="7" hidden="1">{"CFC COMPARISON",#N/A,FALSE,"CFCCOMP";"CREDIT LETTER",#N/A,FALSE,"CFCCOMP";"DEBT OBLIGATION",#N/A,FALSE,"CFCCOMP";"OFFICERS CERTIFICATE",#N/A,FALSE,"CFCCOMP"}</definedName>
    <definedName name="wrn.CFC._.QUARTER." localSheetId="9"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_.Update."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iling._.Update09"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UEL._.SCHEDULE." localSheetId="1" hidden="1">{"COVER",#N/A,FALSE,"COVERPMT";"COMPANY ORDER",#N/A,FALSE,"COVERPMT";"EXHIBIT A",#N/A,FALSE,"COVERPMT"}</definedName>
    <definedName name="wrn.FUEL._.SCHEDULE." localSheetId="7" hidden="1">{"COVER",#N/A,FALSE,"COVERPMT";"COMPANY ORDER",#N/A,FALSE,"COVERPMT";"EXHIBIT A",#N/A,FALSE,"COVERPMT"}</definedName>
    <definedName name="wrn.FUEL._.SCHEDULE." localSheetId="9" hidden="1">{"COVER",#N/A,FALSE,"COVERPMT";"COMPANY ORDER",#N/A,FALSE,"COVERPMT";"EXHIBIT A",#N/A,FALSE,"COVERPMT"}</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wrn.HLP._.Detail." hidden="1">{"2002 - 2006 Detail Income Statement",#N/A,FALSE,"TUB Income Statement wo DW";"BGS Deferral",#N/A,FALSE,"BGS Deferral";"NNC Deferral",#N/A,FALSE,"NNC Deferral";"MTC Deferral",#N/A,FALSE,"MTC Deferral";#N/A,#N/A,FALSE,"Schedule D"}</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_D._.Tax._.Services." hidden="1">{#N/A,#N/A,FALSE,"R&amp;D Quick Calc";#N/A,#N/A,FALSE,"DOE Fee Schedule"}</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ettlement._.Analysis." hidden="1">{"Assumptions",#N/A,FALSE,"Assumptions";"2003 - 2007 Summary",#N/A,FALSE,"Income Statement";"Summary Deferral Forecast",#N/A,FALSE,"Deferral Forecast"}</definedName>
    <definedName name="wrn.tax._._Accrual09" hidden="1">{#N/A,#N/A,TRUE,"TAXPROV";#N/A,#N/A,TRUE,"FLOWTHRU";#N/A,#N/A,TRUE,"SCHEDULE M'S";#N/A,#N/A,TRUE,"PLANT M'S";#N/A,#N/A,TRUE,"TAXJE"}</definedName>
    <definedName name="wrn.Tax._.Accrual." hidden="1">{#N/A,#N/A,TRUE,"TAXPROV";#N/A,#N/A,TRUE,"FLOWTHRU";#N/A,#N/A,TRUE,"SCHEDULE M'S";#N/A,#N/A,TRUE,"PLANT M'S";#N/A,#N/A,TRUE,"TAXJE"}</definedName>
    <definedName name="wrn.TBC._.Update." hidden="1">{#N/A,#N/A,FALSE,"TABLE I";#N/A,#N/A,FALSE,"TBC Development";#N/A,#N/A,FALSE,"MTC -Tax Development";#N/A,#N/A,FALSE,"MTC - Tax descriptions";#N/A,#N/A,FALSE,"MTC -Tax True Up"}</definedName>
    <definedName name="xcvxvx">#REF!</definedName>
    <definedName name="xvsdgsgfsf">'[8]2005 CapEx (By VP By Dept) Budg'!$A$3:$P$431</definedName>
    <definedName name="xvxvxzvxc">#REF!</definedName>
    <definedName name="xzczczczxc">#REF!</definedName>
    <definedName name="y" hidden="1">{#N/A,#N/A,FALSE,"Monthly SAIFI";#N/A,#N/A,FALSE,"Yearly SAIFI";#N/A,#N/A,FALSE,"Monthly CAIDI";#N/A,#N/A,FALSE,"Yearly CAIDI";#N/A,#N/A,FALSE,"Monthly SAIDI";#N/A,#N/A,FALSE,"Yearly SAIDI";#N/A,#N/A,FALSE,"Monthly MAIFI";#N/A,#N/A,FALSE,"Yearly MAIFI";#N/A,#N/A,FALSE,"Monthly Cust &gt;=4 Int"}</definedName>
    <definedName name="YEAct">'[11]all EED O&amp;M BO data'!$O$2:$O$5000</definedName>
    <definedName name="Year">#REF!</definedName>
    <definedName name="Year4BGS">[16]Assumptions!#REF!</definedName>
    <definedName name="YEBudVar">'[11]all EED O&amp;M BO data'!$R$2:$R$5000</definedName>
    <definedName name="YEQtrVar">'[11]all EED O&amp;M BO data'!$S$2:$S$5000</definedName>
    <definedName name="YesNo">#REF!</definedName>
    <definedName name="YORK_COUNTY">#REF!</definedName>
    <definedName name="yrtm1">[4]Print!$I$31</definedName>
    <definedName name="yrtm2">[4]Print!$G$31</definedName>
    <definedName name="yrtm3">[4]Print!$E$31</definedName>
    <definedName name="yrtm4">[4]Print!$C$31</definedName>
    <definedName name="yryryrr" hidden="1">{#N/A,#N/A,FALSE,"Monthly SAIFI";#N/A,#N/A,FALSE,"Yearly SAIFI";#N/A,#N/A,FALSE,"Monthly CAIDI";#N/A,#N/A,FALSE,"Yearly CAIDI";#N/A,#N/A,FALSE,"Monthly SAIDI";#N/A,#N/A,FALSE,"Yearly SAIDI";#N/A,#N/A,FALSE,"Monthly MAIFI";#N/A,#N/A,FALSE,"Yearly MAIFI";#N/A,#N/A,FALSE,"Monthly Cust &gt;=4 Int"}</definedName>
    <definedName name="YTDAct">'[11]all EED O&amp;M BO data'!$J$2:$J$5000</definedName>
    <definedName name="YTDBudVar">'[11]all EED O&amp;M BO data'!$M$2:$M$5000</definedName>
    <definedName name="YTDCFLE">#REF!</definedName>
    <definedName name="YTDQtrVar">'[11]all EED O&amp;M BO data'!$N$2:$N$5000</definedName>
    <definedName name="z" hidden="1">{#N/A,#N/A,FALSE,"Monthly SAIFI";#N/A,#N/A,FALSE,"Yearly SAIFI";#N/A,#N/A,FALSE,"Monthly CAIDI";#N/A,#N/A,FALSE,"Yearly CAIDI";#N/A,#N/A,FALSE,"Monthly SAIDI";#N/A,#N/A,FALSE,"Yearly SAIDI";#N/A,#N/A,FALSE,"Monthly MAIFI";#N/A,#N/A,FALSE,"Yearly MAIFI";#N/A,#N/A,FALSE,"Monthly Cust &gt;=4 Int"}</definedName>
    <definedName name="Z_E3A30FBC_675D_4AD8_9B2D_12956792A138_.wvu.Rows" localSheetId="1" hidden="1">'Ap B - Qtr Electric Master (2)'!#REF!</definedName>
    <definedName name="Z_E3A30FBC_675D_4AD8_9B2D_12956792A138_.wvu.Rows" localSheetId="4" hidden="1">'Qtr Electric Business Class'!#REF!</definedName>
    <definedName name="Z_E3A30FBC_675D_4AD8_9B2D_12956792A138_.wvu.Rows" localSheetId="3" hidden="1">'Qtr Electric LMI'!#REF!</definedName>
    <definedName name="Z_E3A30FBC_675D_4AD8_9B2D_12956792A138_.wvu.Rows" localSheetId="2" hidden="1">'Qtr Electric Master'!#REF!</definedName>
    <definedName name="Zxczxczczc">'[8]2005 CapEx (By VP By Dept) Budg'!$A$3:$P$431</definedName>
    <definedName name="zxdc">[53]Update!$B$2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30" l="1"/>
  <c r="N15" i="30"/>
  <c r="O14" i="30"/>
  <c r="N14" i="30"/>
  <c r="O11" i="30"/>
  <c r="N11" i="30"/>
  <c r="O10" i="30"/>
  <c r="N10" i="30"/>
  <c r="O9" i="30"/>
  <c r="N9" i="30"/>
  <c r="N8" i="30"/>
  <c r="AB12" i="30"/>
  <c r="AA12" i="30"/>
  <c r="Z12" i="30"/>
  <c r="AB11" i="30"/>
  <c r="AA11" i="30"/>
  <c r="Z11" i="30"/>
  <c r="AB10" i="30"/>
  <c r="AA10" i="30"/>
  <c r="Z10" i="30"/>
  <c r="AB9" i="30"/>
  <c r="AA9" i="30"/>
  <c r="Z9" i="30"/>
  <c r="AB8" i="30"/>
  <c r="AA8" i="30"/>
  <c r="Z8" i="30"/>
  <c r="AB7" i="30"/>
  <c r="AA7" i="30"/>
  <c r="Z7" i="30"/>
  <c r="I10" i="29" l="1"/>
  <c r="G10" i="29"/>
  <c r="S14" i="27" l="1"/>
  <c r="N14" i="27"/>
  <c r="F11" i="29" l="1"/>
  <c r="P18" i="27"/>
  <c r="H38" i="46" l="1"/>
  <c r="J38" i="46" s="1"/>
  <c r="K38" i="46" s="1"/>
  <c r="I39" i="46"/>
  <c r="D36" i="46"/>
  <c r="E36" i="46"/>
  <c r="E39" i="46" s="1"/>
  <c r="F36" i="46"/>
  <c r="H36" i="46"/>
  <c r="I36" i="46"/>
  <c r="J36" i="46"/>
  <c r="L36" i="46"/>
  <c r="M36" i="46"/>
  <c r="N36" i="46"/>
  <c r="P36" i="46"/>
  <c r="Q36" i="46"/>
  <c r="R36" i="46"/>
  <c r="S36" i="46"/>
  <c r="U36" i="46"/>
  <c r="U38" i="46" s="1"/>
  <c r="V36" i="46"/>
  <c r="W36" i="46"/>
  <c r="P28" i="46"/>
  <c r="P29" i="46"/>
  <c r="P30" i="46"/>
  <c r="W30" i="46"/>
  <c r="P31" i="46"/>
  <c r="P32" i="46" s="1"/>
  <c r="D32" i="46"/>
  <c r="F32" i="46"/>
  <c r="G32" i="46" s="1"/>
  <c r="H32" i="46"/>
  <c r="J32" i="46" s="1"/>
  <c r="K32" i="46" s="1"/>
  <c r="L32" i="46"/>
  <c r="N32" i="46"/>
  <c r="O32" i="46"/>
  <c r="Q32" i="46"/>
  <c r="R32" i="46"/>
  <c r="S32" i="46"/>
  <c r="U32" i="46"/>
  <c r="G22" i="46"/>
  <c r="H22" i="46"/>
  <c r="J22" i="46"/>
  <c r="K22" i="46" s="1"/>
  <c r="O22" i="46"/>
  <c r="P22" i="46"/>
  <c r="P26" i="46" s="1"/>
  <c r="G23" i="46"/>
  <c r="H23" i="46"/>
  <c r="J23" i="46" s="1"/>
  <c r="O23" i="46"/>
  <c r="P23" i="46"/>
  <c r="G24" i="46"/>
  <c r="H24" i="46"/>
  <c r="J24" i="46" s="1"/>
  <c r="K24" i="46" s="1"/>
  <c r="O24" i="46"/>
  <c r="P24" i="46"/>
  <c r="H25" i="46"/>
  <c r="J25" i="46" s="1"/>
  <c r="K25" i="46" s="1"/>
  <c r="O25" i="46"/>
  <c r="P25" i="46"/>
  <c r="V25" i="46"/>
  <c r="D26" i="46"/>
  <c r="E26" i="46"/>
  <c r="F26" i="46"/>
  <c r="G26" i="46" s="1"/>
  <c r="I26" i="46"/>
  <c r="L26" i="46"/>
  <c r="M26" i="46"/>
  <c r="M39" i="46" s="1"/>
  <c r="N26" i="46"/>
  <c r="O26" i="46" s="1"/>
  <c r="Q26" i="46"/>
  <c r="R26" i="46"/>
  <c r="S26" i="46"/>
  <c r="U26" i="46"/>
  <c r="AE7" i="46"/>
  <c r="AF7" i="46"/>
  <c r="AG7" i="46"/>
  <c r="H8" i="46"/>
  <c r="J8" i="46" s="1"/>
  <c r="J14" i="46" s="1"/>
  <c r="P8" i="46"/>
  <c r="AE8" i="46"/>
  <c r="V8" i="46" s="1"/>
  <c r="V14" i="46" s="1"/>
  <c r="AF8" i="46"/>
  <c r="W8" i="46" s="1"/>
  <c r="W14" i="46" s="1"/>
  <c r="W19" i="46" s="1"/>
  <c r="AG8" i="46"/>
  <c r="H9" i="46"/>
  <c r="J9" i="46" s="1"/>
  <c r="P9" i="46"/>
  <c r="V9" i="46"/>
  <c r="W9" i="46"/>
  <c r="AE9" i="46"/>
  <c r="AF9" i="46"/>
  <c r="AG9" i="46"/>
  <c r="H10" i="46"/>
  <c r="J10" i="46"/>
  <c r="P10" i="46"/>
  <c r="V10" i="46"/>
  <c r="W10" i="46"/>
  <c r="AE10" i="46"/>
  <c r="AF10" i="46"/>
  <c r="AG10" i="46"/>
  <c r="J11" i="46"/>
  <c r="P11" i="46"/>
  <c r="V11" i="46"/>
  <c r="W11" i="46"/>
  <c r="AE11" i="46"/>
  <c r="AF11" i="46"/>
  <c r="AG11" i="46"/>
  <c r="P12" i="46"/>
  <c r="V12" i="46"/>
  <c r="W12" i="46"/>
  <c r="AE12" i="46"/>
  <c r="V31" i="46" s="1"/>
  <c r="AF12" i="46"/>
  <c r="W31" i="46" s="1"/>
  <c r="AG12" i="46"/>
  <c r="H13" i="46"/>
  <c r="J13" i="46"/>
  <c r="P13" i="46"/>
  <c r="V13" i="46"/>
  <c r="W13" i="46"/>
  <c r="AE13" i="46"/>
  <c r="V23" i="46" s="1"/>
  <c r="AF13" i="46"/>
  <c r="W23" i="46" s="1"/>
  <c r="AG13" i="46"/>
  <c r="D14" i="46"/>
  <c r="F14" i="46"/>
  <c r="G14" i="46"/>
  <c r="L14" i="46"/>
  <c r="P14" i="46" s="1"/>
  <c r="N14" i="46"/>
  <c r="O14" i="46" s="1"/>
  <c r="Q14" i="46"/>
  <c r="R14" i="46"/>
  <c r="S14" i="46"/>
  <c r="U14" i="46"/>
  <c r="AE14" i="46"/>
  <c r="AF14" i="46"/>
  <c r="W25" i="46" s="1"/>
  <c r="AG14" i="46"/>
  <c r="G15" i="46"/>
  <c r="H15" i="46"/>
  <c r="J15" i="46" s="1"/>
  <c r="K15" i="46" s="1"/>
  <c r="O15" i="46"/>
  <c r="P15" i="46"/>
  <c r="V15" i="46"/>
  <c r="W15" i="46"/>
  <c r="AE15" i="46"/>
  <c r="V22" i="46" s="1"/>
  <c r="V26" i="46" s="1"/>
  <c r="AF15" i="46"/>
  <c r="W22" i="46" s="1"/>
  <c r="W26" i="46" s="1"/>
  <c r="AG15" i="46"/>
  <c r="G16" i="46"/>
  <c r="H16" i="46"/>
  <c r="J16" i="46" s="1"/>
  <c r="K16" i="46" s="1"/>
  <c r="O16" i="46"/>
  <c r="P16" i="46"/>
  <c r="V16" i="46"/>
  <c r="W16" i="46"/>
  <c r="AE16" i="46"/>
  <c r="V24" i="46" s="1"/>
  <c r="AF16" i="46"/>
  <c r="W24" i="46" s="1"/>
  <c r="AG16" i="46"/>
  <c r="G17" i="46"/>
  <c r="H17" i="46"/>
  <c r="J17" i="46" s="1"/>
  <c r="K17" i="46" s="1"/>
  <c r="O17" i="46"/>
  <c r="P17" i="46"/>
  <c r="V17" i="46"/>
  <c r="W17" i="46"/>
  <c r="AE17" i="46"/>
  <c r="AF17" i="46"/>
  <c r="AG17" i="46"/>
  <c r="D18" i="46"/>
  <c r="D19" i="46" s="1"/>
  <c r="F18" i="46"/>
  <c r="F19" i="46" s="1"/>
  <c r="G19" i="46" s="1"/>
  <c r="H18" i="46"/>
  <c r="J18" i="46" s="1"/>
  <c r="L18" i="46"/>
  <c r="L19" i="46" s="1"/>
  <c r="N18" i="46"/>
  <c r="N19" i="46" s="1"/>
  <c r="O19" i="46" s="1"/>
  <c r="Q18" i="46"/>
  <c r="P18" i="46" s="1"/>
  <c r="R18" i="46"/>
  <c r="R19" i="46" s="1"/>
  <c r="S18" i="46"/>
  <c r="S19" i="46" s="1"/>
  <c r="W18" i="46"/>
  <c r="E19" i="46"/>
  <c r="I19" i="46"/>
  <c r="M19" i="46"/>
  <c r="U19" i="46"/>
  <c r="N39" i="46" l="1"/>
  <c r="O39" i="46" s="1"/>
  <c r="V18" i="46"/>
  <c r="L39" i="46"/>
  <c r="V19" i="46"/>
  <c r="Q19" i="46"/>
  <c r="Q39" i="46" s="1"/>
  <c r="S39" i="46"/>
  <c r="D39" i="46"/>
  <c r="R39" i="46"/>
  <c r="P19" i="46"/>
  <c r="P39" i="46" s="1"/>
  <c r="J39" i="46"/>
  <c r="K39" i="46" s="1"/>
  <c r="K14" i="46"/>
  <c r="J19" i="46"/>
  <c r="K19" i="46" s="1"/>
  <c r="F39" i="46"/>
  <c r="G39" i="46" s="1"/>
  <c r="K23" i="46"/>
  <c r="J26" i="46"/>
  <c r="K26" i="46" s="1"/>
  <c r="V30" i="46"/>
  <c r="W29" i="46"/>
  <c r="V29" i="46"/>
  <c r="H26" i="46"/>
  <c r="H14" i="46"/>
  <c r="H19" i="46" s="1"/>
  <c r="W28" i="46"/>
  <c r="W32" i="46" s="1"/>
  <c r="W38" i="46" s="1"/>
  <c r="V28" i="46"/>
  <c r="V32" i="46" s="1"/>
  <c r="V38" i="46" l="1"/>
  <c r="H39" i="46"/>
  <c r="H32" i="27" l="1"/>
  <c r="J32" i="27" s="1"/>
  <c r="H38" i="27"/>
  <c r="J38" i="27" s="1"/>
  <c r="H25" i="27"/>
  <c r="J25" i="27" s="1"/>
  <c r="H24" i="27"/>
  <c r="J24" i="27" s="1"/>
  <c r="H23" i="27"/>
  <c r="J23" i="27" s="1"/>
  <c r="H22" i="27"/>
  <c r="J22" i="27" s="1"/>
  <c r="J11" i="27"/>
  <c r="H18" i="27"/>
  <c r="J18" i="27" s="1"/>
  <c r="H17" i="27"/>
  <c r="J17" i="27" s="1"/>
  <c r="H16" i="27"/>
  <c r="J16" i="27" s="1"/>
  <c r="H15" i="27"/>
  <c r="J15" i="27" s="1"/>
  <c r="H13" i="27"/>
  <c r="J13" i="27" s="1"/>
  <c r="H10" i="27"/>
  <c r="J10" i="27" s="1"/>
  <c r="H9" i="27"/>
  <c r="J9" i="27" s="1"/>
  <c r="H8" i="27"/>
  <c r="J8" i="27" s="1"/>
  <c r="D13" i="29" l="1"/>
  <c r="P11" i="27" l="1"/>
  <c r="H13" i="29" l="1"/>
  <c r="H15" i="29" s="1"/>
  <c r="D15" i="29"/>
  <c r="J18" i="30"/>
  <c r="M12" i="38"/>
  <c r="M11" i="38"/>
  <c r="M10" i="38"/>
  <c r="M9" i="38"/>
  <c r="M8" i="38"/>
  <c r="M6" i="38"/>
  <c r="M5" i="38"/>
  <c r="L12" i="38"/>
  <c r="L11" i="38"/>
  <c r="L10" i="38"/>
  <c r="L9" i="38"/>
  <c r="L8" i="38"/>
  <c r="L6" i="38"/>
  <c r="L5" i="38"/>
  <c r="K12" i="38"/>
  <c r="K11" i="38"/>
  <c r="K10" i="38"/>
  <c r="K9" i="38"/>
  <c r="K8" i="38"/>
  <c r="K6" i="38"/>
  <c r="K5" i="38"/>
  <c r="J12" i="38"/>
  <c r="J11" i="38"/>
  <c r="J10" i="38"/>
  <c r="J9" i="38"/>
  <c r="J8" i="38"/>
  <c r="J6" i="38"/>
  <c r="J5" i="38"/>
  <c r="I12" i="38"/>
  <c r="I11" i="38"/>
  <c r="I10" i="38"/>
  <c r="I9" i="38"/>
  <c r="I8" i="38"/>
  <c r="I6" i="38"/>
  <c r="I5" i="38"/>
  <c r="L49" i="45"/>
  <c r="K49" i="45"/>
  <c r="M48" i="45"/>
  <c r="L48" i="45"/>
  <c r="K48" i="45"/>
  <c r="J48" i="45"/>
  <c r="I48" i="45"/>
  <c r="H48" i="45"/>
  <c r="F48" i="45"/>
  <c r="F47" i="45"/>
  <c r="E47" i="45"/>
  <c r="D47" i="45"/>
  <c r="D48" i="45" s="1"/>
  <c r="C47" i="45"/>
  <c r="C48" i="45" s="1"/>
  <c r="G48" i="45" s="1"/>
  <c r="F46" i="45"/>
  <c r="E46" i="45"/>
  <c r="D46" i="45"/>
  <c r="C46" i="45"/>
  <c r="G46" i="45" s="1"/>
  <c r="F45" i="45"/>
  <c r="E45" i="45"/>
  <c r="E48" i="45" s="1"/>
  <c r="D45" i="45"/>
  <c r="C45" i="45"/>
  <c r="M44" i="45"/>
  <c r="M49" i="45" s="1"/>
  <c r="L44" i="45"/>
  <c r="K44" i="45"/>
  <c r="J44" i="45"/>
  <c r="J49" i="45" s="1"/>
  <c r="I44" i="45"/>
  <c r="I49" i="45" s="1"/>
  <c r="H44" i="45"/>
  <c r="H49" i="45" s="1"/>
  <c r="F42" i="45"/>
  <c r="E42" i="45"/>
  <c r="G42" i="45" s="1"/>
  <c r="D42" i="45"/>
  <c r="C42" i="45"/>
  <c r="F41" i="45"/>
  <c r="E41" i="45"/>
  <c r="D41" i="45"/>
  <c r="C41" i="45"/>
  <c r="G41" i="45" s="1"/>
  <c r="G40" i="45"/>
  <c r="F40" i="45"/>
  <c r="E40" i="45"/>
  <c r="D40" i="45"/>
  <c r="C40" i="45"/>
  <c r="F39" i="45"/>
  <c r="E39" i="45"/>
  <c r="D39" i="45"/>
  <c r="G39" i="45" s="1"/>
  <c r="C39" i="45"/>
  <c r="F38" i="45"/>
  <c r="E38" i="45"/>
  <c r="D38" i="45"/>
  <c r="C38" i="45"/>
  <c r="G38" i="45" s="1"/>
  <c r="F37" i="45"/>
  <c r="G37" i="45" s="1"/>
  <c r="E37" i="45"/>
  <c r="D37" i="45"/>
  <c r="C37" i="45"/>
  <c r="F36" i="45"/>
  <c r="E36" i="45"/>
  <c r="D36" i="45"/>
  <c r="C36" i="45"/>
  <c r="G36" i="45" s="1"/>
  <c r="F35" i="45"/>
  <c r="E35" i="45"/>
  <c r="D35" i="45"/>
  <c r="C35" i="45"/>
  <c r="G35" i="45" s="1"/>
  <c r="F34" i="45"/>
  <c r="F44" i="45" s="1"/>
  <c r="F49" i="45" s="1"/>
  <c r="E34" i="45"/>
  <c r="E44" i="45" s="1"/>
  <c r="E49" i="45" s="1"/>
  <c r="D34" i="45"/>
  <c r="D44" i="45" s="1"/>
  <c r="D49" i="45" s="1"/>
  <c r="C34" i="45"/>
  <c r="C44" i="45" s="1"/>
  <c r="F30" i="45"/>
  <c r="E30" i="45"/>
  <c r="G30" i="45" s="1"/>
  <c r="D30" i="45"/>
  <c r="C30" i="45"/>
  <c r="L26" i="45"/>
  <c r="K26" i="45"/>
  <c r="M23" i="45"/>
  <c r="L23" i="45"/>
  <c r="K23" i="45"/>
  <c r="J23" i="45"/>
  <c r="I23" i="45"/>
  <c r="H23" i="45"/>
  <c r="F23" i="45"/>
  <c r="F22" i="45"/>
  <c r="E22" i="45"/>
  <c r="D22" i="45"/>
  <c r="D23" i="45" s="1"/>
  <c r="C22" i="45"/>
  <c r="C23" i="45" s="1"/>
  <c r="F21" i="45"/>
  <c r="E21" i="45"/>
  <c r="E23" i="45" s="1"/>
  <c r="D21" i="45"/>
  <c r="C21" i="45"/>
  <c r="G21" i="45" s="1"/>
  <c r="M18" i="45"/>
  <c r="L18" i="45"/>
  <c r="K18" i="45"/>
  <c r="M17" i="45"/>
  <c r="L17" i="45"/>
  <c r="K17" i="45"/>
  <c r="J17" i="45"/>
  <c r="I17" i="45"/>
  <c r="H17" i="45"/>
  <c r="C17" i="45" s="1"/>
  <c r="G17" i="45" s="1"/>
  <c r="F17" i="45"/>
  <c r="D17" i="45"/>
  <c r="F16" i="45"/>
  <c r="E16" i="45"/>
  <c r="D16" i="45"/>
  <c r="C16" i="45"/>
  <c r="G16" i="45" s="1"/>
  <c r="F15" i="45"/>
  <c r="E15" i="45"/>
  <c r="D15" i="45"/>
  <c r="C15" i="45"/>
  <c r="G15" i="45" s="1"/>
  <c r="F14" i="45"/>
  <c r="E14" i="45"/>
  <c r="E17" i="45" s="1"/>
  <c r="D14" i="45"/>
  <c r="C14" i="45"/>
  <c r="M13" i="45"/>
  <c r="M29" i="45" s="1"/>
  <c r="L13" i="45"/>
  <c r="L29" i="45" s="1"/>
  <c r="K13" i="45"/>
  <c r="K29" i="45" s="1"/>
  <c r="K31" i="45" s="1"/>
  <c r="J13" i="45"/>
  <c r="J26" i="45" s="1"/>
  <c r="I13" i="45"/>
  <c r="I26" i="45" s="1"/>
  <c r="H13" i="45"/>
  <c r="H29" i="45" s="1"/>
  <c r="F12" i="45"/>
  <c r="E12" i="45"/>
  <c r="G12" i="45" s="1"/>
  <c r="D12" i="45"/>
  <c r="C12" i="45"/>
  <c r="F11" i="45"/>
  <c r="E11" i="45"/>
  <c r="D11" i="45"/>
  <c r="C11" i="45"/>
  <c r="G11" i="45" s="1"/>
  <c r="G10" i="45"/>
  <c r="F10" i="45"/>
  <c r="E10" i="45"/>
  <c r="D10" i="45"/>
  <c r="C10" i="45"/>
  <c r="F9" i="45"/>
  <c r="E9" i="45"/>
  <c r="D9" i="45"/>
  <c r="G9" i="45" s="1"/>
  <c r="C9" i="45"/>
  <c r="F8" i="45"/>
  <c r="E8" i="45"/>
  <c r="D8" i="45"/>
  <c r="C8" i="45"/>
  <c r="G8" i="45" s="1"/>
  <c r="F7" i="45"/>
  <c r="G7" i="45" s="1"/>
  <c r="E7" i="45"/>
  <c r="D7" i="45"/>
  <c r="C7" i="45"/>
  <c r="F6" i="45"/>
  <c r="E6" i="45"/>
  <c r="D6" i="45"/>
  <c r="C6" i="45"/>
  <c r="G6" i="45" s="1"/>
  <c r="F5" i="45"/>
  <c r="F13" i="45" s="1"/>
  <c r="E5" i="45"/>
  <c r="E13" i="45" s="1"/>
  <c r="D5" i="45"/>
  <c r="D13" i="45" s="1"/>
  <c r="C5" i="45"/>
  <c r="G5" i="45" s="1"/>
  <c r="C16" i="42"/>
  <c r="D15" i="41"/>
  <c r="E15" i="41" s="1"/>
  <c r="C17" i="41"/>
  <c r="I7" i="41"/>
  <c r="H7" i="41"/>
  <c r="D8" i="41"/>
  <c r="E8" i="41" s="1"/>
  <c r="C10" i="41"/>
  <c r="G12" i="30"/>
  <c r="G21" i="30" s="1"/>
  <c r="I23" i="29"/>
  <c r="H23" i="29"/>
  <c r="I19" i="29"/>
  <c r="H19" i="29"/>
  <c r="I15" i="29"/>
  <c r="I25" i="29" s="1"/>
  <c r="G19" i="29"/>
  <c r="F19" i="29"/>
  <c r="G15" i="29"/>
  <c r="F15" i="29"/>
  <c r="E15" i="29"/>
  <c r="H25" i="29" l="1"/>
  <c r="F25" i="29"/>
  <c r="G25" i="29"/>
  <c r="M31" i="45"/>
  <c r="E29" i="45"/>
  <c r="E31" i="45" s="1"/>
  <c r="F29" i="45"/>
  <c r="F31" i="45" s="1"/>
  <c r="L31" i="45"/>
  <c r="G13" i="45"/>
  <c r="F26" i="45"/>
  <c r="F18" i="45"/>
  <c r="G44" i="45"/>
  <c r="G49" i="45" s="1"/>
  <c r="C49" i="45"/>
  <c r="D18" i="45"/>
  <c r="D26" i="45"/>
  <c r="C29" i="45"/>
  <c r="H31" i="45"/>
  <c r="E26" i="45"/>
  <c r="E18" i="45"/>
  <c r="G14" i="45"/>
  <c r="M26" i="45"/>
  <c r="J29" i="45"/>
  <c r="J31" i="45" s="1"/>
  <c r="G34" i="45"/>
  <c r="G45" i="45"/>
  <c r="C13" i="45"/>
  <c r="G22" i="45"/>
  <c r="G23" i="45" s="1"/>
  <c r="G47" i="45"/>
  <c r="H18" i="45"/>
  <c r="H26" i="45"/>
  <c r="I29" i="45"/>
  <c r="I18" i="45"/>
  <c r="J18" i="45"/>
  <c r="G26" i="45" l="1"/>
  <c r="G18" i="45"/>
  <c r="C18" i="45"/>
  <c r="C26" i="45"/>
  <c r="I31" i="45"/>
  <c r="D29" i="45"/>
  <c r="D31" i="45" s="1"/>
  <c r="C31" i="45"/>
  <c r="G29" i="45" l="1"/>
  <c r="G31" i="45" s="1"/>
  <c r="O18" i="30" l="1"/>
  <c r="N18" i="30"/>
  <c r="M18" i="30"/>
  <c r="L18" i="30"/>
  <c r="K18" i="30"/>
  <c r="M12" i="30"/>
  <c r="L12" i="30"/>
  <c r="K12" i="30"/>
  <c r="K20" i="30" s="1"/>
  <c r="J12" i="30"/>
  <c r="J20" i="30" s="1"/>
  <c r="H12" i="30"/>
  <c r="H21" i="30" s="1"/>
  <c r="I12" i="30"/>
  <c r="I21" i="30" s="1"/>
  <c r="S26" i="27"/>
  <c r="S19" i="27"/>
  <c r="H14" i="27"/>
  <c r="M20" i="30" l="1"/>
  <c r="L20" i="30"/>
  <c r="O12" i="30"/>
  <c r="O20" i="30" s="1"/>
  <c r="N12" i="30"/>
  <c r="N20" i="30" s="1"/>
  <c r="E26" i="27"/>
  <c r="D14" i="27" l="1"/>
  <c r="D19" i="27" s="1"/>
  <c r="G23" i="29" l="1"/>
  <c r="F23" i="29"/>
  <c r="E23" i="29"/>
  <c r="D23" i="29"/>
  <c r="E19" i="29"/>
  <c r="E25" i="29" s="1"/>
  <c r="D19" i="29"/>
  <c r="D25" i="29" s="1"/>
  <c r="S36" i="27"/>
  <c r="S32" i="27"/>
  <c r="R36" i="27"/>
  <c r="Q36" i="27"/>
  <c r="P36" i="27"/>
  <c r="N36" i="27"/>
  <c r="M36" i="27"/>
  <c r="L36" i="27"/>
  <c r="J36" i="27"/>
  <c r="I36" i="27"/>
  <c r="H36" i="27"/>
  <c r="F36" i="27"/>
  <c r="E36" i="27"/>
  <c r="D36" i="27"/>
  <c r="R32" i="27"/>
  <c r="Q32" i="27"/>
  <c r="N32" i="27"/>
  <c r="L32" i="27"/>
  <c r="K32" i="27"/>
  <c r="F32" i="27"/>
  <c r="D32" i="27"/>
  <c r="P31" i="27"/>
  <c r="P30" i="27"/>
  <c r="P29" i="27"/>
  <c r="P28" i="27"/>
  <c r="R26" i="27"/>
  <c r="Q26" i="27"/>
  <c r="N26" i="27"/>
  <c r="M26" i="27"/>
  <c r="L26" i="27"/>
  <c r="J26" i="27"/>
  <c r="I26" i="27"/>
  <c r="H26" i="27"/>
  <c r="F26" i="27"/>
  <c r="D26" i="27"/>
  <c r="P25" i="27"/>
  <c r="O25" i="27"/>
  <c r="K25" i="27"/>
  <c r="P24" i="27"/>
  <c r="O24" i="27"/>
  <c r="K24" i="27"/>
  <c r="G24" i="27"/>
  <c r="P23" i="27"/>
  <c r="O23" i="27"/>
  <c r="K23" i="27"/>
  <c r="G23" i="27"/>
  <c r="P22" i="27"/>
  <c r="O22" i="27"/>
  <c r="K22" i="27"/>
  <c r="G22" i="27"/>
  <c r="M19" i="27"/>
  <c r="I19" i="27"/>
  <c r="E19" i="27"/>
  <c r="P17" i="27"/>
  <c r="O17" i="27"/>
  <c r="K17" i="27"/>
  <c r="G17" i="27"/>
  <c r="P16" i="27"/>
  <c r="O16" i="27"/>
  <c r="K16" i="27"/>
  <c r="G16" i="27"/>
  <c r="P15" i="27"/>
  <c r="O15" i="27"/>
  <c r="K15" i="27"/>
  <c r="G15" i="27"/>
  <c r="R14" i="27"/>
  <c r="Q14" i="27"/>
  <c r="Q19" i="27" s="1"/>
  <c r="L14" i="27"/>
  <c r="L19" i="27" s="1"/>
  <c r="J14" i="27"/>
  <c r="J19" i="27" s="1"/>
  <c r="H19" i="27"/>
  <c r="F14" i="27"/>
  <c r="G14" i="27" s="1"/>
  <c r="P13" i="27"/>
  <c r="P12" i="27"/>
  <c r="P10" i="27"/>
  <c r="P9" i="27"/>
  <c r="P8" i="27"/>
  <c r="Q39" i="27" l="1"/>
  <c r="J39" i="27"/>
  <c r="O32" i="27"/>
  <c r="S39" i="27"/>
  <c r="D9" i="41"/>
  <c r="E9" i="41" s="1"/>
  <c r="D16" i="41"/>
  <c r="E16" i="41" s="1"/>
  <c r="D7" i="41"/>
  <c r="D14" i="41"/>
  <c r="O14" i="27"/>
  <c r="N19" i="27"/>
  <c r="G32" i="27"/>
  <c r="H39" i="27"/>
  <c r="G26" i="27"/>
  <c r="I39" i="27"/>
  <c r="O26" i="27"/>
  <c r="R19" i="27"/>
  <c r="P26" i="27"/>
  <c r="P32" i="27"/>
  <c r="K26" i="27"/>
  <c r="F19" i="27"/>
  <c r="K19" i="27"/>
  <c r="K14" i="27"/>
  <c r="P14" i="27"/>
  <c r="P19" i="27" s="1"/>
  <c r="K39" i="27" l="1"/>
  <c r="E14" i="41"/>
  <c r="D17" i="41"/>
  <c r="E17" i="41" s="1"/>
  <c r="E7" i="41"/>
  <c r="D10" i="41"/>
  <c r="E10" i="41" s="1"/>
  <c r="O19" i="27"/>
  <c r="P39" i="27"/>
  <c r="G19" i="27"/>
  <c r="F12" i="30"/>
  <c r="F21" i="30" s="1"/>
  <c r="E12" i="30"/>
  <c r="E21" i="30" s="1"/>
  <c r="D12" i="30"/>
  <c r="D21" i="30" s="1"/>
  <c r="K38" i="27" l="1"/>
  <c r="R39" i="27" l="1"/>
  <c r="M39" i="27" l="1"/>
  <c r="N39" i="27"/>
  <c r="D39" i="27"/>
  <c r="L39" i="27"/>
  <c r="E39" i="27"/>
  <c r="F39" i="27"/>
  <c r="G39" i="27" l="1"/>
  <c r="O39" i="27"/>
</calcChain>
</file>

<file path=xl/comments1.xml><?xml version="1.0" encoding="utf-8"?>
<comments xmlns="http://schemas.openxmlformats.org/spreadsheetml/2006/main">
  <authors>
    <author>tc={5F5EE908-9C51-4146-A40D-D90641CF6C9C}</author>
    <author>tc={276C17B9-B884-407E-BF89-559A6AAE6B75}</author>
    <author>tc={30DE45F1-4422-47C2-82CE-9E97CCC2F5CD}</author>
    <author>tc={4A59C6F3-EB38-47E8-B6BB-3C75D28204FC}</author>
    <author>tc={EE053B7D-CBD2-404F-B9F6-E1AC041A560B}</author>
    <author>tc={5ADBB05A-E968-4502-9C4E-4A27491422B7}</author>
    <author>tc={956FA5BC-2372-4F97-A83E-E73B172B2AB4}</author>
    <author>tc={1A56364F-69C4-44EC-B38C-CD3731B00099}</author>
    <author>tc={48CEFD70-D978-44B7-B0A4-E7298E3C7E5B}</author>
    <author>tc={EA457FA6-2C20-4476-B878-D628702C8E2B}</author>
    <author>tc={7B624C67-9A96-4FF9-9119-82F28FA3049D}</author>
    <author>tc={64A01E19-E488-40FA-8A47-0748DBD3FEBD}</author>
    <author>tc={E303537B-0652-4010-8CF9-7AB0E4A8F710}</author>
    <author>tc={9F434ECF-5A8B-4D0E-BFCB-D032D8CA803E}</author>
    <author>tc={A03573A6-CA14-4AD8-B0CA-AACADDFE491C}</author>
    <author>tc={4FD7689C-D71F-46C7-8260-C7B9F3CF4186}</author>
    <author>tc={6E8E61A5-A38D-4F40-8392-9955211290B8}</author>
    <author>tc={471A6990-785A-42DF-9E44-D6D6DF348D5E}</author>
  </authors>
  <commentList>
    <comment ref="F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does not match with YTD in Ap C - Qtr electric LMI
Reply:
    Also, (954-181 = 773) 773 does not equal the 691 YTD participants reported in Q2</t>
        </r>
      </text>
    </comment>
    <comment ref="N8"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does not match with YTD in Ap C - Qtr electric LMI. YTD number showing in Appliance rebates qtr savings
Reply:
    Also, (475-106 = 369) 369 does not equal the 336 YTD MWh reported in Q2</t>
        </r>
      </text>
    </comment>
    <comment ref="S8"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(7251-1670 = 5581) 5581 does not equal the 5327 YTD MWh reported in Q2</t>
        </r>
      </text>
    </comment>
    <comment ref="F10"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(1403-410 = 993) 993 does not equal the 1109 YTD participants reported in Q2</t>
        </r>
      </text>
    </comment>
    <comment ref="N1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(1550-459 = 1091) 1091 does not equal the 1015 YTD MWh reported in Q2</t>
        </r>
      </text>
    </comment>
    <comment ref="R10"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Should not be 0</t>
        </r>
      </text>
    </comment>
    <comment ref="S10"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Should not be 0</t>
        </r>
      </text>
    </comment>
    <comment ref="F12"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does not match with YTD in Ap C - Qtr electric LMI. YTD number is showing in Qtr section.</t>
        </r>
      </text>
    </comment>
    <comment ref="N12"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does not match with YTD in Ap C - Qtr electric LMI. 2,522 showing in qtr numbers.
Reply:
    Also, (6256-2522 = 3734) 3734 does not equal the 3945 YTD MWh reported in Q2</t>
        </r>
      </text>
    </comment>
    <comment ref="S12"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(86492-31125 = 55367) 55,367 does not equal the 51,195 YTD MWh reported in Q2</t>
        </r>
      </text>
    </comment>
    <comment ref="F13"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does not match with YTD in Ap C - Qtr electric LMI</t>
        </r>
      </text>
    </comment>
    <comment ref="N13"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does not match with YTD in Ap C - Qtr electric LMI
Reply:
    Also, (20062-7927 = 12135) 12135 does not equal the 12067 YTD MWh reported in Q2</t>
        </r>
      </text>
    </comment>
    <comment ref="S13"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(300,935 - 118,911 = 182,024) 182,024 does not equal the 181,001 YTD MWh reported in Q2</t>
        </r>
      </text>
    </comment>
    <comment ref="N16"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off by 1. YTD numbers shows as 1,419
Reply:
    Likely a rounding issue.</t>
        </r>
      </text>
    </comment>
    <comment ref="E22" authorId="1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Replaced forecast of 250 w/PY2 forecast of 180</t>
        </r>
      </text>
    </comment>
    <comment ref="M22" authorId="1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Replaced forecast of 7,399 w/PY2 forecast of 8,363</t>
        </r>
      </text>
    </comment>
    <comment ref="D23" authorId="1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Replaced Measure count of 16,309 w/project count of 72</t>
        </r>
      </text>
    </comment>
    <comment ref="F23" authorId="1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Replaced Measure count of 50,166 w/project count of 222</t>
        </r>
      </text>
    </comment>
  </commentList>
</comments>
</file>

<file path=xl/sharedStrings.xml><?xml version="1.0" encoding="utf-8"?>
<sst xmlns="http://schemas.openxmlformats.org/spreadsheetml/2006/main" count="698" uniqueCount="245">
  <si>
    <t>Quarter</t>
  </si>
  <si>
    <t>Residential</t>
  </si>
  <si>
    <t>Multifamily</t>
  </si>
  <si>
    <t>Reported Totals for Utility Administered Programs</t>
  </si>
  <si>
    <t>C&amp;I</t>
  </si>
  <si>
    <t>Annual Target Retail Savings (MWh)</t>
  </si>
  <si>
    <t>Percent of Annual Target</t>
  </si>
  <si>
    <t>N/A</t>
  </si>
  <si>
    <t>HVAC</t>
  </si>
  <si>
    <t>Appliance Rebates</t>
  </si>
  <si>
    <t>Appliance Recycling</t>
  </si>
  <si>
    <t>Online Marketplace</t>
  </si>
  <si>
    <t>Food Banks</t>
  </si>
  <si>
    <t>Others - Lighting</t>
  </si>
  <si>
    <t>Quick Home Energy Check-Up</t>
  </si>
  <si>
    <t>Moderate Income Weatherization</t>
  </si>
  <si>
    <t>Behavioral</t>
  </si>
  <si>
    <t>C&amp;I Direct Install</t>
  </si>
  <si>
    <t>Direct Install</t>
  </si>
  <si>
    <t>Energy Solutions for Business</t>
  </si>
  <si>
    <t>Prescriptive/Custom</t>
  </si>
  <si>
    <t>Energy Management</t>
  </si>
  <si>
    <t>Engineered Solutions</t>
  </si>
  <si>
    <t>Multi-Family</t>
  </si>
  <si>
    <t>Efficient Products</t>
  </si>
  <si>
    <t>Existing Homes</t>
  </si>
  <si>
    <t>Home Energy Education &amp; Management</t>
  </si>
  <si>
    <t>Table 8 -  Benefit-Cost Test Results</t>
  </si>
  <si>
    <t>Initial</t>
  </si>
  <si>
    <t>Final</t>
  </si>
  <si>
    <t>NJCT</t>
  </si>
  <si>
    <t>PCT</t>
  </si>
  <si>
    <t>PACT</t>
  </si>
  <si>
    <t>RIMT</t>
  </si>
  <si>
    <t>TRCT</t>
  </si>
  <si>
    <t>SCT</t>
  </si>
  <si>
    <t>Portfolio Total</t>
  </si>
  <si>
    <t>Other Programs</t>
  </si>
  <si>
    <t xml:space="preserve">In Word document only </t>
  </si>
  <si>
    <t>FY23-Q3</t>
  </si>
  <si>
    <t>Sector</t>
  </si>
  <si>
    <t>Program</t>
  </si>
  <si>
    <t>Sub-Program</t>
  </si>
  <si>
    <t>YTD Reported Participation Number</t>
  </si>
  <si>
    <t>ACE</t>
  </si>
  <si>
    <t>HPwES</t>
  </si>
  <si>
    <t>Commercial</t>
  </si>
  <si>
    <t>Energy Efficiency and PDR Savings Summary</t>
  </si>
  <si>
    <t>CR</t>
  </si>
  <si>
    <t>ICF</t>
  </si>
  <si>
    <t>TRC</t>
  </si>
  <si>
    <t>CRT</t>
  </si>
  <si>
    <t>OMP</t>
  </si>
  <si>
    <t>CP</t>
  </si>
  <si>
    <t>Behavior</t>
  </si>
  <si>
    <t>For Period Ending PY23 Q3</t>
  </si>
  <si>
    <t xml:space="preserve"> </t>
  </si>
  <si>
    <t>Participation</t>
  </si>
  <si>
    <t>Actual Expenditures</t>
  </si>
  <si>
    <t>Ex Ante Energy Savings</t>
  </si>
  <si>
    <t>**Suplement for Annual Report</t>
  </si>
  <si>
    <t>A</t>
  </si>
  <si>
    <t>B</t>
  </si>
  <si>
    <t>C</t>
  </si>
  <si>
    <t>D=C/B</t>
  </si>
  <si>
    <t>E</t>
  </si>
  <si>
    <t>F</t>
  </si>
  <si>
    <t>G</t>
  </si>
  <si>
    <t>H=G/F</t>
  </si>
  <si>
    <t>I</t>
  </si>
  <si>
    <t>J</t>
  </si>
  <si>
    <t>K</t>
  </si>
  <si>
    <t>L=K/J</t>
  </si>
  <si>
    <t>M</t>
  </si>
  <si>
    <t>N</t>
  </si>
  <si>
    <t>O</t>
  </si>
  <si>
    <t>P</t>
  </si>
  <si>
    <t>Q</t>
  </si>
  <si>
    <t>R</t>
  </si>
  <si>
    <t>S</t>
  </si>
  <si>
    <t>Annual Forecasted Participation Number</t>
  </si>
  <si>
    <t>YTD % of Annual Participants</t>
  </si>
  <si>
    <t>Quarter ($000)</t>
  </si>
  <si>
    <r>
      <t xml:space="preserve">Annual Forecasted Program Costs ($000) </t>
    </r>
    <r>
      <rPr>
        <vertAlign val="superscript"/>
        <sz val="9"/>
        <color rgb="FFFFFFFF"/>
        <rFont val="Calibri"/>
        <family val="2"/>
        <scheme val="minor"/>
      </rPr>
      <t>2</t>
    </r>
  </si>
  <si>
    <t>YTD Reported Program Costs ($000)</t>
  </si>
  <si>
    <t>YTD % of Annual Budget</t>
  </si>
  <si>
    <t>Quarter Annual Retail Energy Savings (MWh)</t>
  </si>
  <si>
    <t>Annual Forecasted Retail Energy Savings (MWh)</t>
  </si>
  <si>
    <t>YTD Reported Annual Retail Energy Savings (MWh)</t>
  </si>
  <si>
    <t>YTD % of Annual Energy Savings</t>
  </si>
  <si>
    <t>Quarter  Annual Wholesale Energy Savings (MWh)</t>
  </si>
  <si>
    <t>YTD Retail Peak Demand Savings (MW)</t>
  </si>
  <si>
    <t>Quarter Lifetime Retail Energy Savings (MWh)</t>
  </si>
  <si>
    <t>YTD Lifetime Retail Energy Savings (MWh)</t>
  </si>
  <si>
    <t>Current Quarter Retail Peak Demand Savings (MW)</t>
  </si>
  <si>
    <t>Current Quarter  Lifetime Wholesale Energy Savings (MWh)</t>
  </si>
  <si>
    <t>Current Quarter Wholesale Peak Demand Savings (MW)</t>
  </si>
  <si>
    <t>Count</t>
  </si>
  <si>
    <t>Sub-Programs</t>
  </si>
  <si>
    <t>Weighted Electric Losses - Energy</t>
  </si>
  <si>
    <t>Weighted Electric Losses - Demand</t>
  </si>
  <si>
    <t>Weighted Natural Gas Losses</t>
  </si>
  <si>
    <t>Residential Programs</t>
  </si>
  <si>
    <r>
      <t>Sub Program or Category</t>
    </r>
    <r>
      <rPr>
        <b/>
        <vertAlign val="superscript"/>
        <sz val="11"/>
        <color theme="1"/>
        <rFont val="Calibri"/>
        <family val="2"/>
        <scheme val="minor"/>
      </rPr>
      <t>1</t>
    </r>
  </si>
  <si>
    <t>Res</t>
  </si>
  <si>
    <t>Home Energy Reports</t>
  </si>
  <si>
    <t>Efficient Products*</t>
  </si>
  <si>
    <t xml:space="preserve"> N/A </t>
  </si>
  <si>
    <t>Existing Homes QHEC</t>
  </si>
  <si>
    <t>Existing Homes HPwES</t>
  </si>
  <si>
    <t>LMI</t>
  </si>
  <si>
    <t>MF</t>
  </si>
  <si>
    <t>Energy Solutions for Business: Prescriptive and Custom</t>
  </si>
  <si>
    <t>Subtotal Efficient Products</t>
  </si>
  <si>
    <t xml:space="preserve">Energy Solutions for Business: Engineered Solutions </t>
  </si>
  <si>
    <t>Home Performance with Energy Star*</t>
  </si>
  <si>
    <t xml:space="preserve">Direct Install </t>
  </si>
  <si>
    <r>
      <t>Quick Home Energy Check-Up</t>
    </r>
    <r>
      <rPr>
        <vertAlign val="superscript"/>
        <sz val="11"/>
        <rFont val="Calibri"/>
        <family val="2"/>
        <scheme val="minor"/>
      </rPr>
      <t>3</t>
    </r>
  </si>
  <si>
    <t xml:space="preserve">Energy Solutions for Business: Energy Management </t>
  </si>
  <si>
    <t>Portfolio</t>
  </si>
  <si>
    <t>Portfolio Costs</t>
  </si>
  <si>
    <r>
      <t>Behavioral</t>
    </r>
    <r>
      <rPr>
        <vertAlign val="superscript"/>
        <sz val="11"/>
        <rFont val="Calibri"/>
        <family val="2"/>
        <scheme val="minor"/>
      </rPr>
      <t>3</t>
    </r>
  </si>
  <si>
    <t xml:space="preserve">-   </t>
  </si>
  <si>
    <t xml:space="preserve"> $-   </t>
  </si>
  <si>
    <t>Total Residential</t>
  </si>
  <si>
    <t>Business Programs</t>
  </si>
  <si>
    <t>Direct Install*</t>
  </si>
  <si>
    <r>
      <t>Prescriptive/Custom*</t>
    </r>
    <r>
      <rPr>
        <vertAlign val="superscript"/>
        <sz val="11"/>
        <color theme="1"/>
        <rFont val="Calibri"/>
        <family val="2"/>
        <scheme val="minor"/>
      </rPr>
      <t>4</t>
    </r>
  </si>
  <si>
    <t>Total Business</t>
  </si>
  <si>
    <t>Multi-Family*</t>
  </si>
  <si>
    <t>Prescriptive/Custom*</t>
  </si>
  <si>
    <t>Subtotal Multi-Family</t>
  </si>
  <si>
    <t>Home Optimization &amp; Peak Demand Reduction</t>
  </si>
  <si>
    <t>Total Other</t>
  </si>
  <si>
    <t>Supportive Costs Outside Portfolio</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</si>
  <si>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</si>
  <si>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</si>
  <si>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 Quick Home Energy Check-Up and Behavioral Program costs in PY1 are supported by merger funding. For consistency with the Company's approved plan, the costs and particpation counts for projects funded this way are excluded from the table above. Savings from these programs is included in this report as permitted by the June 10th Board Order.</t>
    </r>
  </si>
  <si>
    <r>
      <rPr>
        <vertAlign val="superscript"/>
        <sz val="11"/>
        <rFont val="Calibri"/>
        <family val="2"/>
        <scheme val="minor"/>
      </rPr>
      <t>4</t>
    </r>
    <r>
      <rPr>
        <sz val="11"/>
        <rFont val="Calibri"/>
        <family val="2"/>
        <scheme val="minor"/>
      </rPr>
      <t xml:space="preserve"> The participant definition for the Prescriptive/Custom component of the Energy Solutions for Business program as agreed upon by the joint utilities represents the count of projects while the forecast established in ACE's filed plan represents the count of measures. </t>
    </r>
  </si>
  <si>
    <t>* Denotes a core EE program. Home Performance with Energy Star only includes non-LMI; the comparable program for LMI participants is Comfort Partners, which is jointly administered by the State and Utilities.</t>
  </si>
  <si>
    <t>Incentive Expenditures (Customer Rebates and Low/no-cost financing)</t>
  </si>
  <si>
    <t>D</t>
  </si>
  <si>
    <t>YTD Reported Incentive Costs ($000)</t>
  </si>
  <si>
    <t>YTD Reported Retail Energy Savings (MWh)</t>
  </si>
  <si>
    <t>Sub Program</t>
  </si>
  <si>
    <t>Non-LMI or Unverified</t>
  </si>
  <si>
    <t>Others</t>
  </si>
  <si>
    <r>
      <t>Home Performance with Energy Star</t>
    </r>
    <r>
      <rPr>
        <vertAlign val="superscript"/>
        <sz val="11"/>
        <rFont val="Calibri"/>
        <family val="2"/>
        <scheme val="minor"/>
      </rPr>
      <t>1,2</t>
    </r>
  </si>
  <si>
    <r>
      <t>Quick Home Energy Check-Up</t>
    </r>
    <r>
      <rPr>
        <vertAlign val="superscript"/>
        <sz val="11"/>
        <color theme="1"/>
        <rFont val="Calibri"/>
        <family val="2"/>
        <scheme val="minor"/>
      </rPr>
      <t>2</t>
    </r>
  </si>
  <si>
    <t>TBD</t>
  </si>
  <si>
    <r>
      <t>Direct Installation/MF QHEC</t>
    </r>
    <r>
      <rPr>
        <vertAlign val="superscript"/>
        <sz val="11"/>
        <color theme="1"/>
        <rFont val="Calibri"/>
        <family val="2"/>
        <scheme val="minor"/>
      </rPr>
      <t>2</t>
    </r>
  </si>
  <si>
    <t>Total Multi-Family</t>
  </si>
  <si>
    <t>NONE</t>
  </si>
  <si>
    <r>
      <rPr>
        <vertAlign val="superscript"/>
        <sz val="9"/>
        <rFont val="Calibri"/>
        <family val="2"/>
        <scheme val="minor"/>
      </rPr>
      <t>1</t>
    </r>
    <r>
      <rPr>
        <sz val="9"/>
        <rFont val="Calibri"/>
        <family val="2"/>
        <scheme val="minor"/>
      </rPr>
      <t xml:space="preserve"> Income-qualified customers are directed to participate through the Comfort Partners or Moderate Income Weatherization programs.</t>
    </r>
  </si>
  <si>
    <r>
      <rPr>
        <vertAlign val="superscript"/>
        <sz val="9"/>
        <rFont val="Calibri"/>
        <family val="2"/>
        <scheme val="minor"/>
      </rPr>
      <t>2</t>
    </r>
    <r>
      <rPr>
        <sz val="9"/>
        <rFont val="Calibri"/>
        <family val="2"/>
        <scheme val="minor"/>
      </rPr>
      <t xml:space="preserve"> LMI values include low and moderate-income customers for Q3 PY23 filing. Only low-income customers were included in previous quarters.</t>
    </r>
  </si>
  <si>
    <t>H</t>
  </si>
  <si>
    <t>L</t>
  </si>
  <si>
    <t>Reported Lifetime Retail Energy Savings Current Quarter (MWh)</t>
  </si>
  <si>
    <t>Reported Lifetime Retail Energy Savings YTD (MWh)</t>
  </si>
  <si>
    <t>Reported Lifetime Wholesale Energy Savings Current Quarter (MWh)</t>
  </si>
  <si>
    <t>Small Commercial</t>
  </si>
  <si>
    <t>Large Commercial</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</si>
  <si>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</si>
  <si>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</si>
  <si>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</si>
  <si>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r>
      <t>Annual Energy Savings</t>
    </r>
    <r>
      <rPr>
        <vertAlign val="superscript"/>
        <sz val="9"/>
        <color indexed="9"/>
        <rFont val="Calibri"/>
        <family val="2"/>
        <scheme val="minor"/>
      </rPr>
      <t>1</t>
    </r>
    <r>
      <rPr>
        <sz val="9"/>
        <color indexed="9"/>
        <rFont val="Calibri"/>
        <family val="2"/>
        <scheme val="minor"/>
      </rPr>
      <t>,</t>
    </r>
    <r>
      <rPr>
        <vertAlign val="superscript"/>
        <sz val="9"/>
        <color rgb="FFFFFFFF"/>
        <rFont val="Calibri"/>
        <family val="2"/>
        <scheme val="minor"/>
      </rPr>
      <t>2</t>
    </r>
  </si>
  <si>
    <t>Annual Retail (MWh)</t>
  </si>
  <si>
    <t>Primary Metrics - 2020/21  TRM</t>
  </si>
  <si>
    <t>Secondary Metrics - 2022 TRM</t>
  </si>
  <si>
    <t>Annual Savings</t>
  </si>
  <si>
    <t>Lifetime Savings</t>
  </si>
  <si>
    <t>Figure A-1 - Program Year [2022] Portfolio-Level Annual Energy Savings – Primary vs. Seondary Metrics</t>
  </si>
  <si>
    <t>Table F-2 – Sector-Level Energy Savings: Secondary Metrics from 2022 TRM Addendum</t>
  </si>
  <si>
    <r>
      <t>1</t>
    </r>
    <r>
      <rPr>
        <sz val="9"/>
        <color theme="1"/>
        <rFont val="Calibri"/>
        <family val="2"/>
        <scheme val="minor"/>
      </rPr>
      <t xml:space="preserve"> Annual energy savings represent the total expected annual savings from all energy efficiency measures within each sector, and not only those measures affected by the FY2022 TRM Addendum.</t>
    </r>
    <r>
      <rPr>
        <vertAlign val="superscript"/>
        <sz val="9"/>
        <color theme="1"/>
        <rFont val="Calibri"/>
        <family val="2"/>
        <scheme val="minor"/>
      </rPr>
      <t xml:space="preserve">
2</t>
    </r>
    <r>
      <rPr>
        <sz val="9"/>
        <color theme="1"/>
        <rFont val="Calibri"/>
        <family val="2"/>
        <scheme val="minor"/>
      </rPr>
      <t xml:space="preserve"> Residential sector includes savings from ACE merger committment programs.</t>
    </r>
  </si>
  <si>
    <t>Figure A-2 - Program Year [2022] Portfolio-Level Lifetime Energy Savings – Primary vs Secondary Metrics</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</si>
  <si>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</si>
  <si>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</si>
  <si>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ACE</t>
  </si>
  <si>
    <t>Dth held for transfer</t>
  </si>
  <si>
    <r>
      <t>Res Efficient Products</t>
    </r>
    <r>
      <rPr>
        <vertAlign val="superscript"/>
        <sz val="11"/>
        <color theme="1"/>
        <rFont val="Arial"/>
        <family val="2"/>
      </rPr>
      <t>1</t>
    </r>
  </si>
  <si>
    <t>Home Performance w/Energy Star</t>
  </si>
  <si>
    <r>
      <t xml:space="preserve">C&amp;I </t>
    </r>
    <r>
      <rPr>
        <sz val="11"/>
        <color rgb="FF000000"/>
        <rFont val="Arial"/>
        <family val="2"/>
      </rPr>
      <t>Prescriptive/Custom</t>
    </r>
  </si>
  <si>
    <t>C&amp;I Small Business Direct Install</t>
  </si>
  <si>
    <r>
      <t xml:space="preserve">C&amp;I </t>
    </r>
    <r>
      <rPr>
        <sz val="11"/>
        <color rgb="FF000000"/>
        <rFont val="Arial"/>
        <family val="2"/>
      </rPr>
      <t>Energy Management</t>
    </r>
  </si>
  <si>
    <r>
      <t xml:space="preserve">C&amp;I </t>
    </r>
    <r>
      <rPr>
        <sz val="11"/>
        <color rgb="FF000000"/>
        <rFont val="Arial"/>
        <family val="2"/>
      </rPr>
      <t>Engineered Solutions</t>
    </r>
  </si>
  <si>
    <r>
      <t>TOTAL</t>
    </r>
    <r>
      <rPr>
        <b/>
        <vertAlign val="superscript"/>
        <sz val="11"/>
        <color theme="1"/>
        <rFont val="Arial"/>
        <family val="2"/>
      </rPr>
      <t>2</t>
    </r>
  </si>
  <si>
    <t>Appendix H - Cost Effectiveness Test Details</t>
  </si>
  <si>
    <t>Business</t>
  </si>
  <si>
    <t xml:space="preserve">Other </t>
  </si>
  <si>
    <t>Total Portfolio</t>
  </si>
  <si>
    <t>Total Resource Cost Test (TRC)</t>
  </si>
  <si>
    <r>
      <t>Quarter Retail Savings</t>
    </r>
    <r>
      <rPr>
        <vertAlign val="superscript"/>
        <sz val="9"/>
        <color indexed="9"/>
        <rFont val="Calibri"/>
        <family val="2"/>
        <scheme val="minor"/>
      </rPr>
      <t>1</t>
    </r>
  </si>
  <si>
    <r>
      <t>YTD Retail Savings</t>
    </r>
    <r>
      <rPr>
        <vertAlign val="superscript"/>
        <sz val="9"/>
        <color indexed="9"/>
        <rFont val="Calibri"/>
        <family val="2"/>
        <scheme val="minor"/>
      </rPr>
      <t>2</t>
    </r>
  </si>
  <si>
    <r>
      <t>Quarter Whole Savings</t>
    </r>
    <r>
      <rPr>
        <vertAlign val="superscript"/>
        <sz val="9"/>
        <color indexed="9"/>
        <rFont val="Calibri"/>
        <family val="2"/>
        <scheme val="minor"/>
      </rPr>
      <t>3</t>
    </r>
  </si>
  <si>
    <r>
      <t>Energy Efficiency Baseline</t>
    </r>
    <r>
      <rPr>
        <vertAlign val="superscript"/>
        <sz val="9"/>
        <color indexed="9"/>
        <rFont val="Calibri"/>
        <family val="2"/>
        <scheme val="minor"/>
      </rPr>
      <t>4</t>
    </r>
  </si>
  <si>
    <t>Lost Revenue from Energy Savings (kWh)</t>
  </si>
  <si>
    <t>Lost Revenue fromPeak Demand Savings (kW)</t>
  </si>
  <si>
    <t>Lost Revenue from Gas Savings (Therms)</t>
  </si>
  <si>
    <t>Avoided Costs from Energy Savings (kWh)</t>
  </si>
  <si>
    <t>Avoided Costs from Demand Savings (kW)</t>
  </si>
  <si>
    <t>Avoided Costs from Gas Savings (Therms)</t>
  </si>
  <si>
    <t>Environmental Adder</t>
  </si>
  <si>
    <t>DRIPE</t>
  </si>
  <si>
    <t>Total Benefit = 1+2+3+4+5+6+7+8</t>
  </si>
  <si>
    <t>Administrative Costs</t>
  </si>
  <si>
    <t>Participant Incremental Costs</t>
  </si>
  <si>
    <t>Incentives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</si>
  <si>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</si>
  <si>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</si>
  <si>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</si>
  <si>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</si>
  <si>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</si>
  <si>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</si>
  <si>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</si>
  <si>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</si>
  <si>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</si>
  <si>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</si>
  <si>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</si>
  <si>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</si>
  <si>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New Jersey Cost Test (NJCT)</t>
  </si>
  <si>
    <t>NEB Adder</t>
  </si>
  <si>
    <t>Lifetime Avoided Ancillary Services Costs</t>
  </si>
  <si>
    <t>Total Benefit = 16+17+18+19+20+21+22+23+24+25</t>
  </si>
  <si>
    <t>Total Costs = 26+27+28</t>
  </si>
  <si>
    <t>Benefit Cost Ratio = (16+17+18+19+20+21+22+23+24+25)/(26+27+28)</t>
  </si>
  <si>
    <t xml:space="preserve">Pilot Program </t>
  </si>
  <si>
    <t>Program Manager</t>
  </si>
  <si>
    <t>ETG</t>
  </si>
  <si>
    <t>JCPL</t>
  </si>
  <si>
    <t>NJNG</t>
  </si>
  <si>
    <t>PSEG</t>
  </si>
  <si>
    <t>RECO</t>
  </si>
  <si>
    <t>SJG</t>
  </si>
  <si>
    <t>Reporting Quarter &amp; Year</t>
  </si>
  <si>
    <t>FY22-Q1</t>
  </si>
  <si>
    <t>FY22-Q2</t>
  </si>
  <si>
    <t>FY22-Q3</t>
  </si>
  <si>
    <t>FY22-Q4</t>
  </si>
  <si>
    <t>FY23-Q1</t>
  </si>
  <si>
    <t>FY23-Q2</t>
  </si>
  <si>
    <t>FY23-Q4</t>
  </si>
  <si>
    <t>FY24-Q1</t>
  </si>
  <si>
    <t>FY24-Q2</t>
  </si>
  <si>
    <t>FY24-Q3</t>
  </si>
  <si>
    <t>FY24-Q4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</si>
</sst>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_);_(* \(#,##0.000\);_(* &quot;-&quot;??_);_(@_)"/>
    <numFmt numFmtId="168" formatCode="0.000%"/>
    <numFmt numFmtId="170" formatCode="_(* #,##0.0_);_(* \(#,##0.0\);_(* &quot;-&quot;??_);_(@_)"/>
    <numFmt numFmtId="171" formatCode="0.000"/>
    <numFmt numFmtId="172" formatCode="_(* #,##0.000_);_(* \(#,##0.000\);_(* &quot;-&quot;???_);_(@_)"/>
    <numFmt numFmtId="173" formatCode="#,##0.000"/>
    <numFmt numFmtId="174" formatCode="_([$$-409]* #,##0.00_);_([$$-409]* \(#,##0.00\);_([$$-409]* &quot;-&quot;??_);_(@_)"/>
    <numFmt numFmtId="175" formatCode="_([$$-409]* #,##0_);_([$$-409]* \(#,##0\);_([$$-409]* &quot;-&quot;_);_(@_)"/>
  </numFmts>
  <fonts count="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b/>
      <sz val="11"/>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1"/>
      <color rgb="FF000000"/>
      <name val="Calibri"/>
      <family val="2"/>
    </font>
    <font>
      <vertAlign val="superscript"/>
      <sz val="11"/>
      <color theme="1"/>
      <name val="Calibri"/>
      <family val="2"/>
      <scheme val="minor"/>
    </font>
    <font>
      <sz val="11"/>
      <color rgb="FF006100"/>
      <name val="Calibri"/>
      <family val="2"/>
      <scheme val="minor"/>
    </font>
    <font>
      <sz val="11"/>
      <color rgb="FF000000"/>
      <name val="Calibri"/>
      <family val="2"/>
      <scheme val="minor"/>
    </font>
    <font>
      <b/>
      <sz val="10"/>
      <name val="Arial"/>
      <family val="2"/>
    </font>
    <font>
      <sz val="11"/>
      <name val="Calibri"/>
      <family val="2"/>
    </font>
    <font>
      <vertAlign val="superscript"/>
      <sz val="9"/>
      <color indexed="9"/>
      <name val="Calibri"/>
      <family val="2"/>
      <scheme val="minor"/>
    </font>
    <font>
      <sz val="11"/>
      <name val="Arial Black"/>
      <family val="2"/>
    </font>
    <font>
      <sz val="11"/>
      <color theme="1"/>
      <name val="Arial"/>
      <family val="2"/>
    </font>
    <font>
      <b/>
      <sz val="14"/>
      <color theme="1"/>
      <name val="Arial"/>
      <family val="2"/>
    </font>
    <font>
      <b/>
      <sz val="14"/>
      <name val="Arial"/>
      <family val="2"/>
    </font>
    <font>
      <sz val="11"/>
      <name val="Arial"/>
      <family val="2"/>
    </font>
    <font>
      <sz val="12"/>
      <color rgb="FF000000"/>
      <name val="Times New Roman"/>
      <family val="1"/>
    </font>
    <font>
      <vertAlign val="superscript"/>
      <sz val="11"/>
      <color theme="1"/>
      <name val="Arial"/>
      <family val="2"/>
    </font>
    <font>
      <b/>
      <sz val="11"/>
      <color theme="1"/>
      <name val="Arial"/>
      <family val="2"/>
    </font>
    <font>
      <sz val="11"/>
      <color theme="1"/>
      <name val="Times New Roman"/>
      <family val="1"/>
    </font>
    <font>
      <sz val="9"/>
      <color theme="1"/>
      <name val="Calibri"/>
      <family val="2"/>
      <scheme val="minor"/>
    </font>
    <font>
      <sz val="11"/>
      <color indexed="9"/>
      <name val="Times New Roman"/>
      <family val="1"/>
    </font>
    <font>
      <b/>
      <sz val="11"/>
      <color theme="1"/>
      <name val="Times New Roman"/>
      <family val="1"/>
    </font>
    <font>
      <vertAlign val="superscript"/>
      <sz val="9"/>
      <color theme="1"/>
      <name val="Calibri"/>
      <family val="2"/>
      <scheme val="minor"/>
    </font>
    <font>
      <b/>
      <sz val="11"/>
      <color rgb="FF000000"/>
      <name val="Calibri"/>
      <family val="2"/>
      <scheme val="minor"/>
    </font>
    <font>
      <sz val="11"/>
      <color rgb="FF7030A0"/>
      <name val="Calibri"/>
      <family val="2"/>
      <scheme val="minor"/>
    </font>
    <font>
      <sz val="11"/>
      <color rgb="FF000000"/>
      <name val="Arial"/>
      <family val="2"/>
    </font>
    <font>
      <b/>
      <vertAlign val="superscript"/>
      <sz val="11"/>
      <color theme="1"/>
      <name val="Arial"/>
      <family val="2"/>
    </font>
    <font>
      <b/>
      <sz val="11"/>
      <name val="Times New Roman"/>
      <family val="1"/>
    </font>
    <font>
      <b/>
      <sz val="11"/>
      <color theme="1"/>
      <name val="Calibri"/>
      <family val="2"/>
    </font>
    <font>
      <sz val="11"/>
      <color theme="1"/>
      <name val="Calibri"/>
      <family val="2"/>
    </font>
    <font>
      <b/>
      <sz val="11"/>
      <color rgb="FF000000"/>
      <name val="Calibri"/>
      <family val="2"/>
    </font>
    <font>
      <sz val="11"/>
      <color rgb="FF996633"/>
      <name val="Calibri"/>
      <family val="2"/>
    </font>
    <font>
      <sz val="8"/>
      <name val="Calibri"/>
      <family val="2"/>
      <scheme val="minor"/>
    </font>
    <font>
      <sz val="9"/>
      <name val="Calibri"/>
      <family val="2"/>
      <scheme val="minor"/>
    </font>
    <font>
      <vertAlign val="superscript"/>
      <sz val="9"/>
      <name val="Calibri"/>
      <family val="2"/>
      <scheme val="minor"/>
    </font>
  </fonts>
  <fills count="29">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F2CC"/>
        <bgColor rgb="FF000000"/>
      </patternFill>
    </fill>
    <fill>
      <patternFill patternType="solid">
        <fgColor theme="9" tint="0.59999389629810485"/>
        <bgColor rgb="FF000000"/>
      </patternFill>
    </fill>
    <fill>
      <patternFill patternType="solid">
        <fgColor rgb="FFFFC000"/>
        <bgColor rgb="FF000000"/>
      </patternFill>
    </fill>
    <fill>
      <patternFill patternType="solid">
        <fgColor rgb="FFFFFF00"/>
        <bgColor rgb="FF000000"/>
      </patternFill>
    </fill>
    <fill>
      <patternFill patternType="solid">
        <fgColor rgb="FF7030A0"/>
        <bgColor rgb="FF000000"/>
      </patternFill>
    </fill>
    <fill>
      <patternFill patternType="solid">
        <fgColor rgb="FFFF0000"/>
        <bgColor rgb="FF000000"/>
      </patternFill>
    </fill>
    <fill>
      <patternFill patternType="solid">
        <fgColor theme="9"/>
        <bgColor rgb="FF000000"/>
      </patternFill>
    </fill>
    <fill>
      <patternFill patternType="solid">
        <fgColor rgb="FFFFC000"/>
        <bgColor indexed="64"/>
      </patternFill>
    </fill>
    <fill>
      <patternFill patternType="solid">
        <fgColor theme="8" tint="0.59999389629810485"/>
        <bgColor rgb="FF000000"/>
      </patternFill>
    </fill>
    <fill>
      <patternFill patternType="solid">
        <fgColor theme="8" tint="0.59999389629810485"/>
        <bgColor indexed="64"/>
      </patternFill>
    </fill>
    <fill>
      <patternFill patternType="solid">
        <fgColor theme="9"/>
        <bgColor indexed="64"/>
      </patternFill>
    </fill>
    <fill>
      <patternFill patternType="solid">
        <fgColor rgb="FF7030A0"/>
        <bgColor indexed="64"/>
      </patternFill>
    </fill>
    <fill>
      <patternFill patternType="solid">
        <fgColor rgb="FFFFF2CC"/>
        <bgColor indexed="64"/>
      </patternFill>
    </fill>
    <fill>
      <patternFill patternType="solid">
        <fgColor theme="4" tint="0.79995117038483843"/>
        <bgColor indexed="64"/>
      </patternFill>
    </fill>
    <fill>
      <patternFill patternType="solid">
        <fgColor theme="0" tint="-0.24994659260841701"/>
        <bgColor indexed="64"/>
      </patternFill>
    </fill>
  </fills>
  <borders count="111">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rgb="FF000000"/>
      </bottom>
      <diagonal/>
    </border>
    <border>
      <left style="medium">
        <color indexed="64"/>
      </left>
      <right/>
      <top style="medium">
        <color indexed="64"/>
      </top>
      <bottom style="medium">
        <color rgb="FF000000"/>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rgb="FF000000"/>
      </left>
      <right/>
      <top style="medium">
        <color rgb="FF000000"/>
      </top>
      <bottom/>
      <diagonal/>
    </border>
    <border>
      <left/>
      <right style="medium">
        <color indexed="64"/>
      </right>
      <top style="medium">
        <color rgb="FF000000"/>
      </top>
      <bottom/>
      <diagonal/>
    </border>
    <border>
      <left/>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indexed="64"/>
      </left>
      <right style="medium">
        <color rgb="FF000000"/>
      </right>
      <top style="medium">
        <color indexed="64"/>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indexed="64"/>
      </right>
      <top/>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medium">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thin">
        <color indexed="64"/>
      </right>
      <top/>
      <bottom style="medium">
        <color rgb="FF000000"/>
      </bottom>
      <diagonal/>
    </border>
    <border>
      <left style="thin">
        <color indexed="64"/>
      </left>
      <right/>
      <top/>
      <bottom style="medium">
        <color rgb="FF000000"/>
      </bottom>
      <diagonal/>
    </border>
    <border>
      <left style="thin">
        <color indexed="64"/>
      </left>
      <right style="medium">
        <color indexed="64"/>
      </right>
      <top/>
      <bottom style="medium">
        <color rgb="FF000000"/>
      </bottom>
      <diagonal/>
    </border>
    <border>
      <left style="thin">
        <color indexed="64"/>
      </left>
      <right style="medium">
        <color rgb="FF000000"/>
      </right>
      <top/>
      <bottom style="medium">
        <color rgb="FF000000"/>
      </bottom>
      <diagonal/>
    </border>
    <border>
      <left/>
      <right style="medium">
        <color rgb="FF000000"/>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0" fontId="16" fillId="10" borderId="0" applyNumberFormat="0" applyBorder="0" applyAlignment="0" applyProtection="0"/>
    <xf numFmtId="0" fontId="9" fillId="0" borderId="0"/>
    <xf numFmtId="0" fontId="21" fillId="0" borderId="0"/>
    <xf numFmtId="0" fontId="22" fillId="0" borderId="0"/>
  </cellStyleXfs>
  <cellXfs count="933">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3" borderId="10" xfId="0" applyFont="1" applyFill="1" applyBorder="1"/>
    <xf numFmtId="0" fontId="2" fillId="0" borderId="0" xfId="0" applyFont="1"/>
    <xf numFmtId="165" fontId="2" fillId="0" borderId="0" xfId="2" applyNumberFormat="1" applyFont="1"/>
    <xf numFmtId="164" fontId="2" fillId="0" borderId="0" xfId="1" applyNumberFormat="1" applyFont="1"/>
    <xf numFmtId="0" fontId="7" fillId="2" borderId="10" xfId="0" applyFont="1" applyFill="1" applyBorder="1" applyAlignment="1">
      <alignment horizontal="center" vertical="center" wrapText="1"/>
    </xf>
    <xf numFmtId="0" fontId="0" fillId="0" borderId="18"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36" xfId="0" applyFont="1" applyFill="1" applyBorder="1"/>
    <xf numFmtId="164" fontId="3" fillId="3" borderId="39" xfId="1" applyNumberFormat="1" applyFont="1" applyFill="1" applyBorder="1" applyAlignment="1"/>
    <xf numFmtId="0" fontId="11" fillId="0" borderId="0" xfId="0" applyFont="1"/>
    <xf numFmtId="0" fontId="7" fillId="2" borderId="42"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0" fontId="6" fillId="7" borderId="4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0" xfId="0" applyFont="1" applyFill="1" applyAlignment="1">
      <alignment horizontal="center" vertical="center" wrapText="1"/>
    </xf>
    <xf numFmtId="0" fontId="6" fillId="2" borderId="30" xfId="0" applyFont="1" applyFill="1" applyBorder="1" applyAlignment="1">
      <alignment horizontal="center" vertical="center" wrapText="1"/>
    </xf>
    <xf numFmtId="164" fontId="7" fillId="2" borderId="30" xfId="1" applyNumberFormat="1" applyFont="1" applyFill="1" applyBorder="1" applyAlignment="1">
      <alignment horizontal="center" vertical="center" wrapText="1"/>
    </xf>
    <xf numFmtId="0" fontId="0" fillId="0" borderId="50" xfId="0" applyBorder="1" applyAlignment="1">
      <alignment horizontal="left" vertical="center" wrapText="1"/>
    </xf>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7" fillId="2" borderId="34" xfId="0" applyFont="1" applyFill="1" applyBorder="1" applyAlignment="1">
      <alignment horizontal="center" vertical="center" wrapText="1"/>
    </xf>
    <xf numFmtId="9" fontId="0" fillId="0" borderId="0" xfId="3" applyFont="1" applyFill="1" applyBorder="1"/>
    <xf numFmtId="0" fontId="0" fillId="0" borderId="2" xfId="0" applyBorder="1" applyAlignment="1">
      <alignment horizontal="left" vertical="center" wrapText="1"/>
    </xf>
    <xf numFmtId="0" fontId="3" fillId="3" borderId="58" xfId="0" applyFont="1" applyFill="1" applyBorder="1"/>
    <xf numFmtId="0" fontId="3" fillId="3" borderId="53" xfId="0" applyFont="1" applyFill="1" applyBorder="1"/>
    <xf numFmtId="0" fontId="0" fillId="2" borderId="57" xfId="0" applyFill="1" applyBorder="1" applyAlignment="1">
      <alignment vertical="center" wrapText="1"/>
    </xf>
    <xf numFmtId="0" fontId="3" fillId="3" borderId="46" xfId="0" applyFont="1" applyFill="1" applyBorder="1"/>
    <xf numFmtId="0" fontId="3" fillId="3" borderId="48" xfId="0" applyFont="1" applyFill="1" applyBorder="1"/>
    <xf numFmtId="0" fontId="3" fillId="3" borderId="62" xfId="0" applyFont="1" applyFill="1" applyBorder="1"/>
    <xf numFmtId="0" fontId="0" fillId="2" borderId="49" xfId="0" applyFill="1" applyBorder="1" applyAlignment="1">
      <alignment vertical="center" wrapText="1"/>
    </xf>
    <xf numFmtId="0" fontId="0" fillId="2" borderId="33" xfId="0" applyFill="1" applyBorder="1" applyAlignment="1">
      <alignment vertical="center" wrapText="1"/>
    </xf>
    <xf numFmtId="0" fontId="0" fillId="2" borderId="60" xfId="0" applyFill="1" applyBorder="1" applyAlignment="1">
      <alignment vertical="center" wrapText="1"/>
    </xf>
    <xf numFmtId="0" fontId="6" fillId="2"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3" fillId="3" borderId="58" xfId="0" applyFont="1" applyFill="1" applyBorder="1" applyAlignment="1">
      <alignment horizontal="center" vertical="center"/>
    </xf>
    <xf numFmtId="0" fontId="7" fillId="2" borderId="38" xfId="0" applyFont="1" applyFill="1" applyBorder="1" applyAlignment="1">
      <alignment horizontal="center" vertical="center" wrapText="1"/>
    </xf>
    <xf numFmtId="0" fontId="3" fillId="3" borderId="44" xfId="0" applyFont="1" applyFill="1" applyBorder="1"/>
    <xf numFmtId="0" fontId="0" fillId="2" borderId="34" xfId="0" applyFill="1" applyBorder="1" applyAlignment="1">
      <alignment vertical="center" wrapText="1"/>
    </xf>
    <xf numFmtId="0" fontId="0" fillId="2" borderId="65" xfId="0" applyFill="1" applyBorder="1" applyAlignment="1">
      <alignment vertical="center" wrapText="1"/>
    </xf>
    <xf numFmtId="0" fontId="7" fillId="7" borderId="21" xfId="0" applyFont="1" applyFill="1" applyBorder="1" applyAlignment="1">
      <alignment horizontal="center" vertical="center" wrapText="1"/>
    </xf>
    <xf numFmtId="0" fontId="7" fillId="7" borderId="64" xfId="0" applyFont="1" applyFill="1" applyBorder="1" applyAlignment="1">
      <alignment horizontal="center" vertical="center" wrapText="1"/>
    </xf>
    <xf numFmtId="0" fontId="0" fillId="5" borderId="56" xfId="0" applyFill="1" applyBorder="1" applyAlignment="1">
      <alignment horizontal="left" vertical="center" wrapText="1"/>
    </xf>
    <xf numFmtId="0" fontId="0" fillId="5" borderId="41" xfId="0" applyFill="1" applyBorder="1" applyAlignment="1">
      <alignment horizontal="left" vertical="center" wrapText="1"/>
    </xf>
    <xf numFmtId="0" fontId="3" fillId="3" borderId="5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6" fillId="7" borderId="55" xfId="0" applyFont="1" applyFill="1" applyBorder="1" applyAlignment="1">
      <alignment horizontal="center" vertical="center" wrapText="1"/>
    </xf>
    <xf numFmtId="0" fontId="6" fillId="7" borderId="53"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0" fillId="0" borderId="21" xfId="0" applyBorder="1"/>
    <xf numFmtId="0" fontId="0" fillId="0" borderId="38" xfId="0" applyBorder="1"/>
    <xf numFmtId="0" fontId="0" fillId="0" borderId="67" xfId="0" applyBorder="1" applyAlignment="1">
      <alignment vertical="center" wrapText="1"/>
    </xf>
    <xf numFmtId="0" fontId="0" fillId="0" borderId="26" xfId="0" applyBorder="1" applyAlignment="1">
      <alignment vertical="center" wrapText="1"/>
    </xf>
    <xf numFmtId="165" fontId="3" fillId="3" borderId="58" xfId="0" applyNumberFormat="1" applyFont="1" applyFill="1" applyBorder="1" applyAlignment="1">
      <alignment horizontal="center"/>
    </xf>
    <xf numFmtId="165" fontId="3" fillId="3" borderId="49" xfId="0" applyNumberFormat="1" applyFont="1" applyFill="1" applyBorder="1" applyAlignment="1">
      <alignment horizontal="center"/>
    </xf>
    <xf numFmtId="165" fontId="3" fillId="3" borderId="54" xfId="0" applyNumberFormat="1" applyFont="1" applyFill="1" applyBorder="1" applyAlignment="1">
      <alignment horizontal="center"/>
    </xf>
    <xf numFmtId="165" fontId="3" fillId="3" borderId="39" xfId="0" applyNumberFormat="1" applyFont="1" applyFill="1" applyBorder="1" applyAlignment="1">
      <alignment horizontal="center"/>
    </xf>
    <xf numFmtId="165" fontId="0" fillId="2" borderId="45" xfId="0" applyNumberFormat="1" applyFill="1" applyBorder="1" applyAlignment="1">
      <alignment horizontal="center" vertical="center" wrapText="1"/>
    </xf>
    <xf numFmtId="165" fontId="0" fillId="2" borderId="24" xfId="0" applyNumberFormat="1" applyFill="1" applyBorder="1" applyAlignment="1">
      <alignment horizontal="center" vertical="center" wrapText="1"/>
    </xf>
    <xf numFmtId="165" fontId="0" fillId="2" borderId="8" xfId="0" applyNumberFormat="1" applyFill="1" applyBorder="1" applyAlignment="1">
      <alignment horizontal="center" vertical="center" wrapText="1"/>
    </xf>
    <xf numFmtId="165" fontId="3" fillId="3" borderId="62" xfId="0" applyNumberFormat="1" applyFont="1" applyFill="1" applyBorder="1" applyAlignment="1">
      <alignment horizontal="center"/>
    </xf>
    <xf numFmtId="165" fontId="3" fillId="3" borderId="30" xfId="0" applyNumberFormat="1" applyFont="1" applyFill="1" applyBorder="1" applyAlignment="1">
      <alignment horizontal="center"/>
    </xf>
    <xf numFmtId="165" fontId="0" fillId="2" borderId="33" xfId="0" applyNumberFormat="1" applyFill="1" applyBorder="1" applyAlignment="1">
      <alignment horizontal="center" vertical="center" wrapText="1"/>
    </xf>
    <xf numFmtId="165" fontId="0" fillId="2" borderId="49" xfId="0" applyNumberFormat="1" applyFill="1" applyBorder="1" applyAlignment="1">
      <alignment horizontal="center" vertical="center" wrapText="1"/>
    </xf>
    <xf numFmtId="165" fontId="3" fillId="3" borderId="10" xfId="0" applyNumberFormat="1" applyFont="1" applyFill="1" applyBorder="1" applyAlignment="1">
      <alignment horizontal="center"/>
    </xf>
    <xf numFmtId="165" fontId="3" fillId="3" borderId="13" xfId="0" applyNumberFormat="1" applyFont="1" applyFill="1" applyBorder="1" applyAlignment="1">
      <alignment horizontal="center"/>
    </xf>
    <xf numFmtId="165" fontId="0" fillId="2" borderId="6" xfId="0" applyNumberFormat="1" applyFill="1" applyBorder="1" applyAlignment="1">
      <alignment horizontal="center" vertical="center" wrapText="1"/>
    </xf>
    <xf numFmtId="166" fontId="3" fillId="3" borderId="43" xfId="3" applyNumberFormat="1" applyFont="1" applyFill="1" applyBorder="1" applyAlignment="1">
      <alignment horizontal="center"/>
    </xf>
    <xf numFmtId="166" fontId="0" fillId="2" borderId="9" xfId="3" applyNumberFormat="1" applyFont="1" applyFill="1" applyBorder="1" applyAlignment="1">
      <alignment horizontal="center" vertical="center" wrapText="1"/>
    </xf>
    <xf numFmtId="166" fontId="3" fillId="3" borderId="68" xfId="3" applyNumberFormat="1" applyFont="1" applyFill="1" applyBorder="1" applyAlignment="1">
      <alignment horizontal="center"/>
    </xf>
    <xf numFmtId="166" fontId="3" fillId="3" borderId="40" xfId="3" applyNumberFormat="1" applyFont="1" applyFill="1" applyBorder="1" applyAlignment="1">
      <alignment horizontal="center"/>
    </xf>
    <xf numFmtId="166" fontId="0" fillId="2" borderId="60" xfId="3" applyNumberFormat="1" applyFont="1" applyFill="1" applyBorder="1" applyAlignment="1">
      <alignment horizontal="center" vertical="center" wrapText="1"/>
    </xf>
    <xf numFmtId="166" fontId="3" fillId="3" borderId="11" xfId="3" applyNumberFormat="1" applyFont="1" applyFill="1" applyBorder="1" applyAlignment="1">
      <alignment horizontal="center"/>
    </xf>
    <xf numFmtId="166" fontId="0" fillId="2" borderId="7" xfId="3" applyNumberFormat="1" applyFont="1" applyFill="1" applyBorder="1" applyAlignment="1">
      <alignment horizontal="center" vertical="center" wrapText="1"/>
    </xf>
    <xf numFmtId="166" fontId="3" fillId="3" borderId="60" xfId="3" applyNumberFormat="1" applyFont="1" applyFill="1" applyBorder="1" applyAlignment="1">
      <alignment horizontal="center"/>
    </xf>
    <xf numFmtId="166" fontId="3" fillId="3" borderId="49" xfId="3" applyNumberFormat="1" applyFont="1" applyFill="1" applyBorder="1" applyAlignment="1">
      <alignment horizontal="center"/>
    </xf>
    <xf numFmtId="166" fontId="0" fillId="0" borderId="8" xfId="3" applyNumberFormat="1" applyFont="1" applyFill="1" applyBorder="1" applyAlignment="1">
      <alignment horizontal="center"/>
    </xf>
    <xf numFmtId="166" fontId="0" fillId="0" borderId="18" xfId="3" applyNumberFormat="1" applyFont="1" applyFill="1" applyBorder="1" applyAlignment="1">
      <alignment horizontal="center"/>
    </xf>
    <xf numFmtId="166" fontId="3" fillId="3" borderId="39" xfId="3" applyNumberFormat="1" applyFont="1" applyFill="1" applyBorder="1" applyAlignment="1">
      <alignment horizontal="center"/>
    </xf>
    <xf numFmtId="166" fontId="0" fillId="2" borderId="8" xfId="3" applyNumberFormat="1" applyFont="1" applyFill="1" applyBorder="1" applyAlignment="1">
      <alignment horizontal="center" vertical="center" wrapText="1"/>
    </xf>
    <xf numFmtId="166" fontId="3" fillId="3" borderId="30" xfId="3" applyNumberFormat="1" applyFont="1" applyFill="1" applyBorder="1" applyAlignment="1">
      <alignment horizontal="center"/>
    </xf>
    <xf numFmtId="166" fontId="14" fillId="0" borderId="13" xfId="3" applyNumberFormat="1" applyFont="1" applyFill="1" applyBorder="1" applyAlignment="1">
      <alignment horizontal="center"/>
    </xf>
    <xf numFmtId="166" fontId="0" fillId="2" borderId="49" xfId="3" applyNumberFormat="1" applyFont="1" applyFill="1" applyBorder="1" applyAlignment="1">
      <alignment horizontal="center" vertical="center" wrapText="1"/>
    </xf>
    <xf numFmtId="166" fontId="3" fillId="3" borderId="13" xfId="3" applyNumberFormat="1" applyFont="1" applyFill="1" applyBorder="1" applyAlignment="1">
      <alignment horizontal="center"/>
    </xf>
    <xf numFmtId="166" fontId="3" fillId="6" borderId="39" xfId="3" applyNumberFormat="1" applyFont="1" applyFill="1" applyBorder="1" applyAlignment="1">
      <alignment horizontal="center"/>
    </xf>
    <xf numFmtId="164" fontId="3" fillId="3" borderId="53" xfId="1" applyNumberFormat="1" applyFont="1" applyFill="1" applyBorder="1" applyAlignment="1">
      <alignment horizontal="center"/>
    </xf>
    <xf numFmtId="164" fontId="3" fillId="3" borderId="39" xfId="1" applyNumberFormat="1" applyFont="1" applyFill="1" applyBorder="1" applyAlignment="1">
      <alignment horizontal="center"/>
    </xf>
    <xf numFmtId="164" fontId="0" fillId="2" borderId="57" xfId="1" applyNumberFormat="1" applyFont="1" applyFill="1" applyBorder="1" applyAlignment="1">
      <alignment horizontal="center" vertical="center" wrapText="1"/>
    </xf>
    <xf numFmtId="164" fontId="0" fillId="2" borderId="8" xfId="1" applyNumberFormat="1" applyFont="1" applyFill="1" applyBorder="1" applyAlignment="1">
      <alignment horizontal="center" vertical="center" wrapText="1"/>
    </xf>
    <xf numFmtId="164" fontId="3" fillId="3" borderId="62" xfId="1" applyNumberFormat="1" applyFont="1" applyFill="1" applyBorder="1" applyAlignment="1">
      <alignment horizontal="center"/>
    </xf>
    <xf numFmtId="164" fontId="3" fillId="3" borderId="30" xfId="1" applyNumberFormat="1" applyFont="1" applyFill="1" applyBorder="1" applyAlignment="1">
      <alignment horizontal="center"/>
    </xf>
    <xf numFmtId="164" fontId="3" fillId="3" borderId="36" xfId="1" applyNumberFormat="1" applyFont="1" applyFill="1" applyBorder="1" applyAlignment="1">
      <alignment horizontal="center"/>
    </xf>
    <xf numFmtId="164" fontId="0" fillId="2" borderId="33" xfId="1" applyNumberFormat="1" applyFont="1" applyFill="1" applyBorder="1" applyAlignment="1">
      <alignment horizontal="center" vertical="center" wrapText="1"/>
    </xf>
    <xf numFmtId="164" fontId="0" fillId="2" borderId="49" xfId="1" applyNumberFormat="1" applyFont="1" applyFill="1" applyBorder="1" applyAlignment="1">
      <alignment horizontal="center" vertical="center" wrapText="1"/>
    </xf>
    <xf numFmtId="164" fontId="0" fillId="0" borderId="23" xfId="1" applyNumberFormat="1" applyFont="1" applyBorder="1" applyAlignment="1">
      <alignment horizontal="center" vertical="center"/>
    </xf>
    <xf numFmtId="164" fontId="3" fillId="3" borderId="10" xfId="1" applyNumberFormat="1" applyFont="1" applyFill="1" applyBorder="1" applyAlignment="1">
      <alignment horizontal="center"/>
    </xf>
    <xf numFmtId="164" fontId="3" fillId="3" borderId="13" xfId="1" applyNumberFormat="1" applyFont="1" applyFill="1" applyBorder="1" applyAlignment="1">
      <alignment horizontal="center"/>
    </xf>
    <xf numFmtId="164" fontId="0" fillId="2" borderId="6" xfId="1" applyNumberFormat="1" applyFont="1" applyFill="1" applyBorder="1" applyAlignment="1">
      <alignment horizontal="center" vertical="center" wrapText="1"/>
    </xf>
    <xf numFmtId="164" fontId="3" fillId="6" borderId="36" xfId="1" applyNumberFormat="1" applyFont="1" applyFill="1" applyBorder="1" applyAlignment="1">
      <alignment horizontal="center"/>
    </xf>
    <xf numFmtId="164" fontId="3" fillId="6" borderId="39" xfId="1" applyNumberFormat="1" applyFont="1" applyFill="1" applyBorder="1" applyAlignment="1">
      <alignment horizontal="center"/>
    </xf>
    <xf numFmtId="0" fontId="3" fillId="3" borderId="33" xfId="0" applyFont="1" applyFill="1" applyBorder="1" applyAlignment="1">
      <alignment horizontal="center"/>
    </xf>
    <xf numFmtId="0" fontId="3" fillId="3" borderId="49" xfId="0" applyFont="1" applyFill="1" applyBorder="1" applyAlignment="1">
      <alignment horizontal="center"/>
    </xf>
    <xf numFmtId="164" fontId="0" fillId="0" borderId="8" xfId="1" applyNumberFormat="1" applyFont="1" applyFill="1" applyBorder="1" applyAlignment="1">
      <alignment horizontal="center" vertical="center"/>
    </xf>
    <xf numFmtId="166" fontId="0" fillId="0" borderId="7" xfId="3" applyNumberFormat="1" applyFont="1" applyFill="1" applyBorder="1" applyAlignment="1">
      <alignment horizontal="center" vertical="center"/>
    </xf>
    <xf numFmtId="164" fontId="0" fillId="0" borderId="18" xfId="1" applyNumberFormat="1" applyFont="1" applyFill="1" applyBorder="1" applyAlignment="1">
      <alignment horizontal="center" vertical="center"/>
    </xf>
    <xf numFmtId="166" fontId="0" fillId="0" borderId="19" xfId="3" applyNumberFormat="1" applyFont="1" applyFill="1" applyBorder="1" applyAlignment="1">
      <alignment horizontal="center" vertical="center"/>
    </xf>
    <xf numFmtId="165" fontId="0" fillId="0" borderId="8" xfId="0" applyNumberFormat="1" applyBorder="1" applyAlignment="1">
      <alignment horizontal="center" vertical="center"/>
    </xf>
    <xf numFmtId="165" fontId="0" fillId="0" borderId="18" xfId="0" applyNumberFormat="1" applyBorder="1" applyAlignment="1">
      <alignment horizontal="center" vertical="center"/>
    </xf>
    <xf numFmtId="0" fontId="0" fillId="0" borderId="47" xfId="0" applyBorder="1" applyAlignment="1">
      <alignment horizontal="left" vertical="center" wrapText="1"/>
    </xf>
    <xf numFmtId="0" fontId="0" fillId="0" borderId="23" xfId="0" applyBorder="1"/>
    <xf numFmtId="0" fontId="0" fillId="0" borderId="24" xfId="0" applyBorder="1"/>
    <xf numFmtId="0" fontId="3" fillId="3" borderId="50" xfId="0" applyFont="1" applyFill="1" applyBorder="1"/>
    <xf numFmtId="164" fontId="3" fillId="3" borderId="2" xfId="1" applyNumberFormat="1" applyFont="1" applyFill="1" applyBorder="1" applyAlignment="1">
      <alignment horizontal="center"/>
    </xf>
    <xf numFmtId="164" fontId="3" fillId="3" borderId="22" xfId="1" applyNumberFormat="1" applyFont="1" applyFill="1" applyBorder="1" applyAlignment="1">
      <alignment horizontal="center"/>
    </xf>
    <xf numFmtId="166" fontId="3" fillId="3" borderId="3" xfId="3" applyNumberFormat="1" applyFont="1" applyFill="1" applyBorder="1" applyAlignment="1">
      <alignment horizontal="center"/>
    </xf>
    <xf numFmtId="164" fontId="3" fillId="3" borderId="70" xfId="1" applyNumberFormat="1" applyFont="1" applyFill="1" applyBorder="1" applyAlignment="1">
      <alignment horizontal="center"/>
    </xf>
    <xf numFmtId="0" fontId="3" fillId="9" borderId="46" xfId="0" applyFont="1" applyFill="1" applyBorder="1"/>
    <xf numFmtId="164" fontId="0" fillId="0" borderId="8" xfId="1" applyNumberFormat="1" applyFont="1" applyFill="1" applyBorder="1" applyAlignment="1">
      <alignment horizontal="center"/>
    </xf>
    <xf numFmtId="164" fontId="0" fillId="0" borderId="18" xfId="1" applyNumberFormat="1" applyFont="1" applyFill="1" applyBorder="1" applyAlignment="1">
      <alignment horizontal="center"/>
    </xf>
    <xf numFmtId="164" fontId="3" fillId="3" borderId="43" xfId="1" applyNumberFormat="1" applyFont="1" applyFill="1" applyBorder="1" applyAlignment="1">
      <alignment horizontal="center"/>
    </xf>
    <xf numFmtId="164" fontId="0" fillId="2" borderId="61" xfId="1" applyNumberFormat="1" applyFont="1" applyFill="1" applyBorder="1" applyAlignment="1">
      <alignment horizontal="center" vertical="center" wrapText="1"/>
    </xf>
    <xf numFmtId="164" fontId="3" fillId="3" borderId="56" xfId="1" applyNumberFormat="1" applyFont="1" applyFill="1" applyBorder="1" applyAlignment="1">
      <alignment horizontal="center"/>
    </xf>
    <xf numFmtId="164" fontId="14" fillId="0" borderId="18" xfId="1" applyNumberFormat="1" applyFont="1" applyFill="1" applyBorder="1" applyAlignment="1">
      <alignment horizontal="center"/>
    </xf>
    <xf numFmtId="164" fontId="14" fillId="0" borderId="13" xfId="1" applyNumberFormat="1" applyFont="1" applyFill="1" applyBorder="1" applyAlignment="1">
      <alignment horizontal="center"/>
    </xf>
    <xf numFmtId="164" fontId="3" fillId="3" borderId="44" xfId="1" applyNumberFormat="1" applyFont="1" applyFill="1" applyBorder="1" applyAlignment="1">
      <alignment horizontal="center"/>
    </xf>
    <xf numFmtId="165" fontId="3" fillId="3" borderId="36" xfId="2" applyNumberFormat="1" applyFont="1" applyFill="1" applyBorder="1" applyAlignment="1">
      <alignment horizontal="center"/>
    </xf>
    <xf numFmtId="165" fontId="3" fillId="3" borderId="39" xfId="2" applyNumberFormat="1" applyFont="1" applyFill="1" applyBorder="1" applyAlignment="1">
      <alignment horizontal="center"/>
    </xf>
    <xf numFmtId="164" fontId="0" fillId="0" borderId="64" xfId="1" applyNumberFormat="1" applyFont="1" applyFill="1" applyBorder="1" applyAlignment="1">
      <alignment horizontal="center"/>
    </xf>
    <xf numFmtId="164" fontId="3" fillId="8" borderId="10" xfId="1" applyNumberFormat="1" applyFont="1" applyFill="1" applyBorder="1" applyAlignment="1">
      <alignment horizontal="center" vertical="center"/>
    </xf>
    <xf numFmtId="164" fontId="3" fillId="8" borderId="13" xfId="1" applyNumberFormat="1" applyFont="1" applyFill="1" applyBorder="1" applyAlignment="1">
      <alignment horizontal="center" vertical="center"/>
    </xf>
    <xf numFmtId="166" fontId="3" fillId="8" borderId="11" xfId="3" applyNumberFormat="1" applyFont="1" applyFill="1" applyBorder="1" applyAlignment="1">
      <alignment horizontal="center" vertical="center"/>
    </xf>
    <xf numFmtId="166" fontId="3" fillId="8" borderId="0" xfId="3" applyNumberFormat="1" applyFont="1" applyFill="1" applyBorder="1" applyAlignment="1">
      <alignment horizontal="center" vertical="center"/>
    </xf>
    <xf numFmtId="164" fontId="3" fillId="8" borderId="13" xfId="1" applyNumberFormat="1" applyFont="1" applyFill="1" applyBorder="1" applyAlignment="1">
      <alignment horizontal="center"/>
    </xf>
    <xf numFmtId="0" fontId="3" fillId="9" borderId="48" xfId="0" applyFont="1" applyFill="1" applyBorder="1"/>
    <xf numFmtId="164" fontId="8" fillId="8" borderId="13" xfId="1" applyNumberFormat="1" applyFont="1" applyFill="1" applyBorder="1" applyAlignment="1">
      <alignment horizontal="center"/>
    </xf>
    <xf numFmtId="164" fontId="14" fillId="0" borderId="24" xfId="1" applyNumberFormat="1" applyFont="1" applyFill="1" applyBorder="1" applyAlignment="1">
      <alignment horizontal="center"/>
    </xf>
    <xf numFmtId="164" fontId="14" fillId="0" borderId="22" xfId="1" applyNumberFormat="1" applyFont="1" applyFill="1" applyBorder="1" applyAlignment="1">
      <alignment horizontal="center"/>
    </xf>
    <xf numFmtId="1" fontId="0" fillId="0" borderId="0" xfId="0" applyNumberFormat="1"/>
    <xf numFmtId="164" fontId="11" fillId="0" borderId="18" xfId="1" applyNumberFormat="1" applyFont="1" applyFill="1" applyBorder="1" applyAlignment="1">
      <alignment horizontal="center"/>
    </xf>
    <xf numFmtId="0" fontId="11" fillId="0" borderId="52" xfId="0" applyFont="1" applyBorder="1" applyAlignment="1">
      <alignment horizontal="left" vertical="center" wrapText="1"/>
    </xf>
    <xf numFmtId="0" fontId="11" fillId="0" borderId="50" xfId="0" applyFont="1" applyBorder="1" applyAlignment="1">
      <alignment horizontal="left" vertical="center" wrapText="1"/>
    </xf>
    <xf numFmtId="164" fontId="0" fillId="0" borderId="22" xfId="1" applyNumberFormat="1" applyFont="1" applyFill="1" applyBorder="1" applyAlignment="1">
      <alignment horizontal="center" vertical="center"/>
    </xf>
    <xf numFmtId="164" fontId="3" fillId="3" borderId="40" xfId="1" applyNumberFormat="1" applyFont="1" applyFill="1" applyBorder="1" applyAlignment="1">
      <alignment horizontal="center"/>
    </xf>
    <xf numFmtId="0" fontId="0" fillId="0" borderId="21" xfId="0" applyBorder="1" applyAlignment="1">
      <alignment horizontal="center"/>
    </xf>
    <xf numFmtId="0" fontId="0" fillId="0" borderId="64" xfId="0" applyBorder="1" applyAlignment="1">
      <alignment horizontal="center"/>
    </xf>
    <xf numFmtId="0" fontId="3" fillId="3" borderId="36" xfId="0" applyFont="1" applyFill="1" applyBorder="1" applyAlignment="1">
      <alignment horizontal="center"/>
    </xf>
    <xf numFmtId="0" fontId="3" fillId="3" borderId="40" xfId="0" applyFont="1" applyFill="1" applyBorder="1" applyAlignment="1">
      <alignment horizontal="center"/>
    </xf>
    <xf numFmtId="166" fontId="3" fillId="6" borderId="44" xfId="3" applyNumberFormat="1" applyFont="1" applyFill="1" applyBorder="1" applyAlignment="1">
      <alignment horizontal="center"/>
    </xf>
    <xf numFmtId="165" fontId="3" fillId="3" borderId="22" xfId="1" applyNumberFormat="1" applyFont="1" applyFill="1" applyBorder="1" applyAlignment="1">
      <alignment horizontal="center"/>
    </xf>
    <xf numFmtId="0" fontId="0" fillId="0" borderId="45" xfId="0" applyBorder="1" applyAlignment="1">
      <alignment horizontal="left" vertical="center" wrapText="1"/>
    </xf>
    <xf numFmtId="0" fontId="16" fillId="0" borderId="0" xfId="5" applyFill="1"/>
    <xf numFmtId="0" fontId="3" fillId="3" borderId="65" xfId="1" applyNumberFormat="1" applyFont="1" applyFill="1" applyBorder="1" applyAlignment="1">
      <alignment horizontal="center"/>
    </xf>
    <xf numFmtId="165" fontId="3" fillId="3" borderId="71" xfId="0" applyNumberFormat="1" applyFont="1" applyFill="1" applyBorder="1" applyAlignment="1">
      <alignment horizontal="center"/>
    </xf>
    <xf numFmtId="167" fontId="0" fillId="0" borderId="8" xfId="1" applyNumberFormat="1" applyFont="1" applyFill="1" applyBorder="1" applyAlignment="1">
      <alignment horizontal="center"/>
    </xf>
    <xf numFmtId="167" fontId="3" fillId="8" borderId="13" xfId="1" applyNumberFormat="1" applyFont="1" applyFill="1" applyBorder="1" applyAlignment="1">
      <alignment horizontal="center"/>
    </xf>
    <xf numFmtId="167" fontId="3" fillId="3" borderId="39" xfId="1" applyNumberFormat="1" applyFont="1" applyFill="1" applyBorder="1" applyAlignment="1">
      <alignment horizontal="center"/>
    </xf>
    <xf numFmtId="167" fontId="0" fillId="2" borderId="8" xfId="1" applyNumberFormat="1" applyFont="1" applyFill="1" applyBorder="1" applyAlignment="1">
      <alignment horizontal="center" vertical="center" wrapText="1"/>
    </xf>
    <xf numFmtId="167" fontId="3" fillId="3" borderId="30" xfId="1" applyNumberFormat="1" applyFont="1" applyFill="1" applyBorder="1" applyAlignment="1">
      <alignment horizontal="center"/>
    </xf>
    <xf numFmtId="167" fontId="0" fillId="2" borderId="49" xfId="1" applyNumberFormat="1" applyFont="1" applyFill="1" applyBorder="1" applyAlignment="1">
      <alignment horizontal="center" vertical="center" wrapText="1"/>
    </xf>
    <xf numFmtId="167" fontId="3" fillId="3" borderId="13" xfId="1" applyNumberFormat="1" applyFont="1" applyFill="1" applyBorder="1" applyAlignment="1">
      <alignment horizontal="center"/>
    </xf>
    <xf numFmtId="165" fontId="0" fillId="0" borderId="24" xfId="2" applyNumberFormat="1" applyFont="1" applyFill="1" applyBorder="1" applyAlignment="1">
      <alignment horizontal="center" vertical="center"/>
    </xf>
    <xf numFmtId="165" fontId="3" fillId="8" borderId="30" xfId="2" applyNumberFormat="1" applyFont="1" applyFill="1" applyBorder="1" applyAlignment="1">
      <alignment horizontal="center" vertical="center"/>
    </xf>
    <xf numFmtId="165" fontId="3" fillId="3" borderId="53" xfId="0" applyNumberFormat="1" applyFont="1" applyFill="1" applyBorder="1" applyAlignment="1">
      <alignment horizontal="center"/>
    </xf>
    <xf numFmtId="165" fontId="0" fillId="2" borderId="21" xfId="0" applyNumberFormat="1" applyFill="1" applyBorder="1" applyAlignment="1">
      <alignment horizontal="center" vertical="center" wrapText="1"/>
    </xf>
    <xf numFmtId="165" fontId="0" fillId="2" borderId="22" xfId="0" applyNumberFormat="1" applyFill="1" applyBorder="1" applyAlignment="1">
      <alignment horizontal="center" vertical="center" wrapText="1"/>
    </xf>
    <xf numFmtId="165" fontId="0" fillId="0" borderId="49" xfId="2" applyNumberFormat="1" applyFont="1" applyFill="1" applyBorder="1" applyAlignment="1">
      <alignment horizontal="center" vertical="center"/>
    </xf>
    <xf numFmtId="165" fontId="0" fillId="0" borderId="18" xfId="2" applyNumberFormat="1" applyFont="1" applyFill="1" applyBorder="1" applyAlignment="1">
      <alignment horizontal="center" vertical="center"/>
    </xf>
    <xf numFmtId="164" fontId="0" fillId="0" borderId="24" xfId="1" applyNumberFormat="1" applyFont="1" applyFill="1" applyBorder="1" applyAlignment="1">
      <alignment horizontal="center" vertical="center"/>
    </xf>
    <xf numFmtId="166" fontId="0" fillId="0" borderId="41" xfId="3" applyNumberFormat="1" applyFont="1" applyFill="1" applyBorder="1" applyAlignment="1">
      <alignment horizontal="center" vertical="center"/>
    </xf>
    <xf numFmtId="166" fontId="0" fillId="0" borderId="27" xfId="3" applyNumberFormat="1" applyFont="1" applyFill="1" applyBorder="1" applyAlignment="1">
      <alignment horizontal="center" vertical="center"/>
    </xf>
    <xf numFmtId="166" fontId="0" fillId="0" borderId="18" xfId="3" applyNumberFormat="1" applyFont="1" applyFill="1" applyBorder="1" applyAlignment="1">
      <alignment horizontal="center" vertical="center"/>
    </xf>
    <xf numFmtId="165" fontId="3" fillId="3" borderId="40" xfId="2" applyNumberFormat="1" applyFont="1" applyFill="1" applyBorder="1" applyAlignment="1">
      <alignment horizontal="center"/>
    </xf>
    <xf numFmtId="165" fontId="0" fillId="2" borderId="33" xfId="2" applyNumberFormat="1" applyFont="1" applyFill="1" applyBorder="1" applyAlignment="1">
      <alignment vertical="center" wrapText="1"/>
    </xf>
    <xf numFmtId="165" fontId="0" fillId="2" borderId="60" xfId="2" applyNumberFormat="1" applyFont="1" applyFill="1" applyBorder="1" applyAlignment="1">
      <alignment vertical="center" wrapText="1"/>
    </xf>
    <xf numFmtId="165" fontId="0" fillId="0" borderId="6" xfId="2" applyNumberFormat="1" applyFont="1" applyBorder="1" applyAlignment="1">
      <alignment horizontal="center" vertical="center"/>
    </xf>
    <xf numFmtId="165" fontId="0" fillId="0" borderId="7" xfId="2" applyNumberFormat="1" applyFont="1" applyBorder="1" applyAlignment="1">
      <alignment horizontal="center" vertical="center"/>
    </xf>
    <xf numFmtId="165" fontId="0" fillId="0" borderId="21" xfId="2" applyNumberFormat="1" applyFont="1" applyBorder="1" applyAlignment="1">
      <alignment horizontal="center"/>
    </xf>
    <xf numFmtId="165" fontId="0" fillId="0" borderId="64" xfId="2" applyNumberFormat="1" applyFont="1" applyBorder="1" applyAlignment="1">
      <alignment horizontal="center"/>
    </xf>
    <xf numFmtId="165" fontId="3" fillId="3" borderId="10" xfId="2" applyNumberFormat="1" applyFont="1" applyFill="1" applyBorder="1" applyAlignment="1">
      <alignment horizontal="center"/>
    </xf>
    <xf numFmtId="165" fontId="3" fillId="3" borderId="11" xfId="2" applyNumberFormat="1" applyFont="1" applyFill="1" applyBorder="1" applyAlignment="1">
      <alignment horizontal="center"/>
    </xf>
    <xf numFmtId="166" fontId="3" fillId="3" borderId="37" xfId="3" applyNumberFormat="1" applyFont="1" applyFill="1" applyBorder="1" applyAlignment="1">
      <alignment horizontal="center"/>
    </xf>
    <xf numFmtId="164" fontId="0" fillId="2" borderId="23" xfId="1" applyNumberFormat="1" applyFont="1" applyFill="1" applyBorder="1" applyAlignment="1">
      <alignment horizontal="center" vertical="center" wrapText="1"/>
    </xf>
    <xf numFmtId="164" fontId="0" fillId="2" borderId="24" xfId="1" applyNumberFormat="1" applyFont="1" applyFill="1" applyBorder="1" applyAlignment="1">
      <alignment horizontal="center" vertical="center" wrapText="1"/>
    </xf>
    <xf numFmtId="166" fontId="0" fillId="2" borderId="24" xfId="3" applyNumberFormat="1" applyFont="1" applyFill="1" applyBorder="1" applyAlignment="1">
      <alignment horizontal="center" vertical="center" wrapText="1"/>
    </xf>
    <xf numFmtId="167" fontId="0" fillId="2" borderId="24" xfId="1" applyNumberFormat="1" applyFont="1" applyFill="1" applyBorder="1" applyAlignment="1">
      <alignment horizontal="center" vertical="center" wrapText="1"/>
    </xf>
    <xf numFmtId="164" fontId="0" fillId="0" borderId="6" xfId="1" applyNumberFormat="1" applyFont="1" applyBorder="1" applyAlignment="1">
      <alignment horizontal="center"/>
    </xf>
    <xf numFmtId="164" fontId="0" fillId="0" borderId="8" xfId="1" applyNumberFormat="1" applyFont="1" applyBorder="1" applyAlignment="1">
      <alignment horizontal="center"/>
    </xf>
    <xf numFmtId="44" fontId="2" fillId="0" borderId="0" xfId="0" applyNumberFormat="1" applyFont="1"/>
    <xf numFmtId="168" fontId="2" fillId="0" borderId="0" xfId="3" applyNumberFormat="1" applyFont="1"/>
    <xf numFmtId="0" fontId="18" fillId="11" borderId="18" xfId="6" applyFont="1" applyFill="1" applyBorder="1" applyAlignment="1">
      <alignment horizontal="center"/>
    </xf>
    <xf numFmtId="49" fontId="0" fillId="0" borderId="18" xfId="0" applyNumberFormat="1" applyBorder="1"/>
    <xf numFmtId="0" fontId="18" fillId="11" borderId="30" xfId="6" applyFont="1" applyFill="1" applyBorder="1" applyAlignment="1">
      <alignment horizontal="center"/>
    </xf>
    <xf numFmtId="0" fontId="9" fillId="0" borderId="18" xfId="6" applyBorder="1"/>
    <xf numFmtId="164" fontId="14" fillId="0" borderId="8" xfId="1" applyNumberFormat="1" applyFont="1" applyFill="1" applyBorder="1" applyAlignment="1">
      <alignment horizontal="center"/>
    </xf>
    <xf numFmtId="166" fontId="14" fillId="0" borderId="9" xfId="3" applyNumberFormat="1" applyFont="1" applyFill="1" applyBorder="1" applyAlignment="1">
      <alignment horizontal="center"/>
    </xf>
    <xf numFmtId="165" fontId="14" fillId="0" borderId="49" xfId="0" applyNumberFormat="1" applyFont="1" applyBorder="1" applyAlignment="1">
      <alignment horizontal="center"/>
    </xf>
    <xf numFmtId="166" fontId="14" fillId="0" borderId="69" xfId="3" applyNumberFormat="1" applyFont="1" applyFill="1" applyBorder="1" applyAlignment="1">
      <alignment horizontal="center"/>
    </xf>
    <xf numFmtId="165" fontId="14" fillId="0" borderId="18" xfId="0" applyNumberFormat="1" applyFont="1" applyBorder="1" applyAlignment="1">
      <alignment horizontal="center"/>
    </xf>
    <xf numFmtId="166" fontId="14" fillId="0" borderId="27" xfId="3" applyNumberFormat="1" applyFont="1" applyFill="1" applyBorder="1" applyAlignment="1">
      <alignment horizontal="center"/>
    </xf>
    <xf numFmtId="165" fontId="14" fillId="0" borderId="24" xfId="0" applyNumberFormat="1" applyFont="1" applyBorder="1" applyAlignment="1">
      <alignment horizontal="center"/>
    </xf>
    <xf numFmtId="166" fontId="14" fillId="0" borderId="74" xfId="3" applyNumberFormat="1" applyFont="1" applyFill="1" applyBorder="1" applyAlignment="1">
      <alignment horizontal="center"/>
    </xf>
    <xf numFmtId="166" fontId="14" fillId="0" borderId="59" xfId="3" applyNumberFormat="1" applyFont="1" applyFill="1" applyBorder="1" applyAlignment="1">
      <alignment horizontal="center"/>
    </xf>
    <xf numFmtId="165" fontId="14" fillId="0" borderId="16" xfId="0" applyNumberFormat="1" applyFont="1" applyBorder="1" applyAlignment="1">
      <alignment horizontal="center"/>
    </xf>
    <xf numFmtId="166" fontId="14" fillId="0" borderId="0" xfId="3" applyNumberFormat="1" applyFont="1" applyFill="1" applyAlignment="1">
      <alignment horizontal="center"/>
    </xf>
    <xf numFmtId="164" fontId="3" fillId="8" borderId="36" xfId="1" applyNumberFormat="1" applyFont="1" applyFill="1" applyBorder="1" applyAlignment="1">
      <alignment horizontal="center" vertical="center"/>
    </xf>
    <xf numFmtId="164" fontId="3" fillId="8" borderId="39" xfId="1" applyNumberFormat="1" applyFont="1" applyFill="1" applyBorder="1" applyAlignment="1">
      <alignment horizontal="center" vertical="center"/>
    </xf>
    <xf numFmtId="166" fontId="3" fillId="8" borderId="44" xfId="3" applyNumberFormat="1" applyFont="1" applyFill="1" applyBorder="1" applyAlignment="1">
      <alignment horizontal="center" vertical="center"/>
    </xf>
    <xf numFmtId="165" fontId="3" fillId="8" borderId="21" xfId="1" applyNumberFormat="1" applyFont="1" applyFill="1" applyBorder="1" applyAlignment="1">
      <alignment horizontal="center" vertical="center"/>
    </xf>
    <xf numFmtId="165" fontId="3" fillId="8" borderId="22" xfId="2" applyNumberFormat="1" applyFont="1" applyFill="1" applyBorder="1" applyAlignment="1">
      <alignment horizontal="center" vertical="center"/>
    </xf>
    <xf numFmtId="166" fontId="3" fillId="8" borderId="4" xfId="3" applyNumberFormat="1" applyFont="1" applyFill="1" applyBorder="1" applyAlignment="1">
      <alignment horizontal="center" vertical="center"/>
    </xf>
    <xf numFmtId="164" fontId="3" fillId="8" borderId="21" xfId="1" applyNumberFormat="1" applyFont="1" applyFill="1" applyBorder="1" applyAlignment="1">
      <alignment horizontal="center" vertical="center"/>
    </xf>
    <xf numFmtId="164" fontId="3" fillId="8" borderId="22" xfId="1" applyNumberFormat="1" applyFont="1" applyFill="1" applyBorder="1" applyAlignment="1">
      <alignment horizontal="center" vertical="center"/>
    </xf>
    <xf numFmtId="164" fontId="0" fillId="0" borderId="49" xfId="1" applyNumberFormat="1" applyFont="1" applyFill="1" applyBorder="1" applyAlignment="1">
      <alignment horizontal="center" vertical="center"/>
    </xf>
    <xf numFmtId="166" fontId="11" fillId="0" borderId="19" xfId="3" applyNumberFormat="1" applyFont="1" applyFill="1" applyBorder="1" applyAlignment="1">
      <alignment horizontal="center" vertical="center"/>
    </xf>
    <xf numFmtId="165" fontId="11" fillId="0" borderId="18" xfId="2" applyNumberFormat="1" applyFont="1" applyFill="1" applyBorder="1" applyAlignment="1">
      <alignment horizontal="center" vertical="center"/>
    </xf>
    <xf numFmtId="164" fontId="11" fillId="0" borderId="30" xfId="1" applyNumberFormat="1" applyFont="1" applyFill="1" applyBorder="1" applyAlignment="1">
      <alignment horizontal="center" vertical="center"/>
    </xf>
    <xf numFmtId="166" fontId="11" fillId="0" borderId="31" xfId="3" applyNumberFormat="1" applyFont="1" applyFill="1" applyBorder="1" applyAlignment="1">
      <alignment horizontal="center" vertical="center"/>
    </xf>
    <xf numFmtId="165" fontId="11" fillId="0" borderId="30" xfId="2" applyNumberFormat="1" applyFont="1" applyFill="1" applyBorder="1" applyAlignment="1">
      <alignment horizontal="center" vertical="center"/>
    </xf>
    <xf numFmtId="166" fontId="0" fillId="0" borderId="56" xfId="3" applyNumberFormat="1" applyFont="1" applyFill="1" applyBorder="1" applyAlignment="1">
      <alignment horizontal="center" vertical="center"/>
    </xf>
    <xf numFmtId="164" fontId="0" fillId="0" borderId="30" xfId="1" applyNumberFormat="1" applyFont="1" applyFill="1" applyBorder="1" applyAlignment="1">
      <alignment horizontal="center" vertical="center"/>
    </xf>
    <xf numFmtId="164" fontId="11" fillId="0" borderId="22" xfId="1" applyNumberFormat="1" applyFont="1" applyFill="1" applyBorder="1" applyAlignment="1">
      <alignment horizontal="center" vertical="center"/>
    </xf>
    <xf numFmtId="166" fontId="11" fillId="0" borderId="64" xfId="3" applyNumberFormat="1" applyFont="1" applyFill="1" applyBorder="1" applyAlignment="1">
      <alignment horizontal="center" vertical="center"/>
    </xf>
    <xf numFmtId="165" fontId="11" fillId="0" borderId="22" xfId="2" applyNumberFormat="1" applyFont="1" applyFill="1" applyBorder="1" applyAlignment="1">
      <alignment horizontal="center" vertical="center"/>
    </xf>
    <xf numFmtId="166" fontId="0" fillId="0" borderId="4" xfId="3" applyNumberFormat="1" applyFont="1" applyFill="1" applyBorder="1" applyAlignment="1">
      <alignment horizontal="center" vertical="center"/>
    </xf>
    <xf numFmtId="166" fontId="3" fillId="3" borderId="44" xfId="3" applyNumberFormat="1" applyFont="1" applyFill="1" applyBorder="1" applyAlignment="1">
      <alignment horizontal="center"/>
    </xf>
    <xf numFmtId="166" fontId="0" fillId="2" borderId="74" xfId="3" applyNumberFormat="1" applyFont="1" applyFill="1" applyBorder="1" applyAlignment="1">
      <alignment horizontal="center" vertical="center" wrapText="1"/>
    </xf>
    <xf numFmtId="164" fontId="0" fillId="2" borderId="9" xfId="1" applyNumberFormat="1" applyFont="1" applyFill="1" applyBorder="1" applyAlignment="1">
      <alignment horizontal="center" vertical="center" wrapText="1"/>
    </xf>
    <xf numFmtId="166" fontId="3" fillId="3" borderId="56" xfId="3" applyNumberFormat="1" applyFont="1" applyFill="1" applyBorder="1" applyAlignment="1">
      <alignment horizontal="center"/>
    </xf>
    <xf numFmtId="164" fontId="3" fillId="3" borderId="68" xfId="1" applyNumberFormat="1" applyFont="1" applyFill="1" applyBorder="1" applyAlignment="1">
      <alignment horizontal="center"/>
    </xf>
    <xf numFmtId="166" fontId="0" fillId="0" borderId="64" xfId="3" applyNumberFormat="1" applyFont="1" applyFill="1" applyBorder="1" applyAlignment="1">
      <alignment horizontal="center" vertical="center"/>
    </xf>
    <xf numFmtId="165" fontId="0" fillId="0" borderId="22" xfId="2" applyNumberFormat="1" applyFont="1" applyFill="1" applyBorder="1" applyAlignment="1">
      <alignment horizontal="center" vertical="center"/>
    </xf>
    <xf numFmtId="166" fontId="0" fillId="0" borderId="38" xfId="3" applyNumberFormat="1" applyFont="1" applyFill="1" applyBorder="1" applyAlignment="1">
      <alignment horizontal="center" vertical="center"/>
    </xf>
    <xf numFmtId="166" fontId="0" fillId="0" borderId="66" xfId="3" applyNumberFormat="1" applyFont="1" applyFill="1" applyBorder="1" applyAlignment="1">
      <alignment horizontal="center" vertical="center"/>
    </xf>
    <xf numFmtId="166" fontId="0" fillId="0" borderId="35" xfId="3" applyNumberFormat="1" applyFont="1" applyFill="1" applyBorder="1" applyAlignment="1">
      <alignment horizontal="center" vertical="center"/>
    </xf>
    <xf numFmtId="164" fontId="0" fillId="0" borderId="13" xfId="1" applyNumberFormat="1" applyFont="1" applyFill="1" applyBorder="1" applyAlignment="1">
      <alignment horizontal="center" vertical="center"/>
    </xf>
    <xf numFmtId="166" fontId="0" fillId="0" borderId="37" xfId="3" applyNumberFormat="1" applyFont="1" applyFill="1" applyBorder="1" applyAlignment="1">
      <alignment horizontal="center" vertical="center"/>
    </xf>
    <xf numFmtId="165" fontId="0" fillId="0" borderId="13" xfId="2" applyNumberFormat="1" applyFont="1" applyFill="1" applyBorder="1" applyAlignment="1">
      <alignment horizontal="center" vertical="center"/>
    </xf>
    <xf numFmtId="166" fontId="0" fillId="2" borderId="65" xfId="3" applyNumberFormat="1" applyFont="1" applyFill="1" applyBorder="1" applyAlignment="1">
      <alignment horizontal="center" vertical="center" wrapText="1"/>
    </xf>
    <xf numFmtId="166" fontId="0" fillId="0" borderId="34" xfId="3" applyNumberFormat="1" applyFont="1" applyFill="1" applyBorder="1" applyAlignment="1">
      <alignment horizontal="center" vertical="center"/>
    </xf>
    <xf numFmtId="166" fontId="0" fillId="2" borderId="38" xfId="3" applyNumberFormat="1" applyFont="1" applyFill="1" applyBorder="1" applyAlignment="1">
      <alignment horizontal="center" vertical="center" wrapText="1"/>
    </xf>
    <xf numFmtId="164" fontId="3" fillId="3" borderId="4" xfId="1" applyNumberFormat="1" applyFont="1" applyFill="1" applyBorder="1" applyAlignment="1">
      <alignment horizontal="center"/>
    </xf>
    <xf numFmtId="166" fontId="3" fillId="3" borderId="22" xfId="3" applyNumberFormat="1" applyFont="1" applyFill="1" applyBorder="1" applyAlignment="1">
      <alignment horizontal="center"/>
    </xf>
    <xf numFmtId="167" fontId="3" fillId="3" borderId="22" xfId="1" applyNumberFormat="1" applyFont="1" applyFill="1" applyBorder="1" applyAlignment="1">
      <alignment horizontal="center"/>
    </xf>
    <xf numFmtId="164" fontId="3" fillId="3" borderId="3" xfId="1" applyNumberFormat="1" applyFont="1" applyFill="1" applyBorder="1" applyAlignment="1">
      <alignment horizontal="center"/>
    </xf>
    <xf numFmtId="166" fontId="0" fillId="0" borderId="7" xfId="3" applyNumberFormat="1" applyFont="1" applyBorder="1" applyAlignment="1">
      <alignment horizontal="center"/>
    </xf>
    <xf numFmtId="165" fontId="0" fillId="0" borderId="6" xfId="0" applyNumberFormat="1" applyBorder="1" applyAlignment="1">
      <alignment horizontal="center"/>
    </xf>
    <xf numFmtId="165" fontId="0" fillId="0" borderId="8" xfId="0" applyNumberFormat="1" applyBorder="1" applyAlignment="1">
      <alignment horizontal="center"/>
    </xf>
    <xf numFmtId="164" fontId="7" fillId="2" borderId="0"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164" fontId="7" fillId="2" borderId="16" xfId="1"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9" borderId="18" xfId="0" applyFill="1" applyBorder="1" applyAlignment="1">
      <alignment wrapText="1"/>
    </xf>
    <xf numFmtId="164" fontId="7" fillId="2" borderId="31" xfId="1" applyNumberFormat="1" applyFont="1" applyFill="1" applyBorder="1" applyAlignment="1">
      <alignment horizontal="center" vertical="center" wrapText="1"/>
    </xf>
    <xf numFmtId="9" fontId="0" fillId="9" borderId="18" xfId="3" applyFont="1" applyFill="1" applyBorder="1"/>
    <xf numFmtId="164" fontId="0" fillId="9" borderId="18" xfId="1" applyNumberFormat="1" applyFont="1" applyFill="1" applyBorder="1"/>
    <xf numFmtId="9" fontId="0" fillId="0" borderId="18" xfId="3" applyFont="1" applyBorder="1"/>
    <xf numFmtId="164" fontId="0" fillId="0" borderId="18" xfId="1" applyNumberFormat="1" applyFont="1" applyBorder="1"/>
    <xf numFmtId="0" fontId="0" fillId="0" borderId="18" xfId="0" applyBorder="1" applyAlignment="1">
      <alignment wrapText="1"/>
    </xf>
    <xf numFmtId="0" fontId="3" fillId="0" borderId="59" xfId="0" applyFont="1" applyBorder="1"/>
    <xf numFmtId="0" fontId="3" fillId="0" borderId="76" xfId="0" applyFont="1" applyBorder="1"/>
    <xf numFmtId="0" fontId="0" fillId="0" borderId="69" xfId="0" applyBorder="1"/>
    <xf numFmtId="0" fontId="0" fillId="0" borderId="76" xfId="0" applyBorder="1"/>
    <xf numFmtId="0" fontId="0" fillId="0" borderId="55" xfId="0" applyBorder="1"/>
    <xf numFmtId="0" fontId="3" fillId="0" borderId="28" xfId="0" applyFont="1" applyBorder="1"/>
    <xf numFmtId="0" fontId="3" fillId="0" borderId="27" xfId="0" applyFont="1" applyBorder="1"/>
    <xf numFmtId="0" fontId="0" fillId="12" borderId="0" xfId="0" applyFill="1"/>
    <xf numFmtId="0" fontId="0" fillId="12" borderId="76" xfId="0" applyFill="1" applyBorder="1"/>
    <xf numFmtId="0" fontId="0" fillId="12" borderId="55" xfId="0" applyFill="1" applyBorder="1"/>
    <xf numFmtId="0" fontId="0" fillId="0" borderId="28" xfId="0" applyBorder="1"/>
    <xf numFmtId="0" fontId="3" fillId="0" borderId="1" xfId="0" applyFont="1" applyBorder="1" applyAlignment="1">
      <alignment horizontal="center" wrapText="1"/>
    </xf>
    <xf numFmtId="0" fontId="3" fillId="0" borderId="41" xfId="0" applyFont="1" applyBorder="1" applyAlignment="1">
      <alignment horizontal="center" wrapText="1"/>
    </xf>
    <xf numFmtId="0" fontId="3" fillId="0" borderId="58" xfId="0" applyFont="1" applyBorder="1" applyAlignment="1">
      <alignment horizontal="center" wrapText="1"/>
    </xf>
    <xf numFmtId="164" fontId="0" fillId="0" borderId="9" xfId="1" applyNumberFormat="1" applyFont="1" applyFill="1" applyBorder="1" applyAlignment="1">
      <alignment horizontal="center"/>
    </xf>
    <xf numFmtId="164" fontId="0" fillId="2" borderId="1" xfId="1" applyNumberFormat="1" applyFont="1" applyFill="1" applyBorder="1" applyAlignment="1">
      <alignment horizontal="center" vertical="center" wrapText="1"/>
    </xf>
    <xf numFmtId="164" fontId="8" fillId="8" borderId="77" xfId="1" applyNumberFormat="1" applyFont="1" applyFill="1" applyBorder="1" applyAlignment="1">
      <alignment horizontal="center"/>
    </xf>
    <xf numFmtId="164" fontId="3" fillId="3" borderId="77" xfId="1" applyNumberFormat="1" applyFont="1" applyFill="1" applyBorder="1" applyAlignment="1">
      <alignment horizontal="center"/>
    </xf>
    <xf numFmtId="164" fontId="3" fillId="6" borderId="59" xfId="1" applyNumberFormat="1" applyFont="1" applyFill="1" applyBorder="1" applyAlignment="1">
      <alignment horizontal="center"/>
    </xf>
    <xf numFmtId="0" fontId="7" fillId="7" borderId="34" xfId="0" applyFont="1" applyFill="1" applyBorder="1" applyAlignment="1">
      <alignment horizontal="center" vertical="center" wrapText="1"/>
    </xf>
    <xf numFmtId="164" fontId="7" fillId="7" borderId="37" xfId="1" applyNumberFormat="1" applyFont="1" applyFill="1" applyBorder="1" applyAlignment="1">
      <alignment horizontal="center" vertical="center" wrapText="1"/>
    </xf>
    <xf numFmtId="166" fontId="3" fillId="3" borderId="65" xfId="3" applyNumberFormat="1" applyFont="1" applyFill="1" applyBorder="1" applyAlignment="1">
      <alignment horizontal="center"/>
    </xf>
    <xf numFmtId="166" fontId="0" fillId="0" borderId="34" xfId="3" applyNumberFormat="1" applyFont="1" applyBorder="1" applyAlignment="1">
      <alignment horizontal="center"/>
    </xf>
    <xf numFmtId="166" fontId="0" fillId="2" borderId="34" xfId="3" applyNumberFormat="1" applyFont="1" applyFill="1" applyBorder="1" applyAlignment="1">
      <alignment horizontal="center" vertical="center" wrapText="1"/>
    </xf>
    <xf numFmtId="166" fontId="3" fillId="3" borderId="38" xfId="3" applyNumberFormat="1" applyFont="1" applyFill="1" applyBorder="1" applyAlignment="1">
      <alignment horizontal="center"/>
    </xf>
    <xf numFmtId="164" fontId="7" fillId="2" borderId="7" xfId="1" applyNumberFormat="1"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43" fontId="7" fillId="2" borderId="11" xfId="1" applyFont="1" applyFill="1" applyBorder="1" applyAlignment="1">
      <alignment horizontal="center" vertical="center" wrapText="1"/>
    </xf>
    <xf numFmtId="0" fontId="3" fillId="3" borderId="60" xfId="1" applyNumberFormat="1" applyFont="1" applyFill="1" applyBorder="1" applyAlignment="1">
      <alignment horizontal="center"/>
    </xf>
    <xf numFmtId="164" fontId="0" fillId="2" borderId="69" xfId="1" applyNumberFormat="1" applyFont="1" applyFill="1" applyBorder="1" applyAlignment="1">
      <alignment horizontal="center" vertical="center" wrapText="1"/>
    </xf>
    <xf numFmtId="164" fontId="3" fillId="3" borderId="10" xfId="1" applyNumberFormat="1" applyFont="1" applyFill="1" applyBorder="1" applyAlignment="1">
      <alignment horizontal="center" vertical="center"/>
    </xf>
    <xf numFmtId="164" fontId="3" fillId="3" borderId="37" xfId="1" applyNumberFormat="1" applyFont="1" applyFill="1" applyBorder="1" applyAlignment="1">
      <alignment horizontal="center" vertical="center"/>
    </xf>
    <xf numFmtId="165" fontId="3" fillId="3" borderId="10" xfId="2" applyNumberFormat="1" applyFont="1" applyFill="1" applyBorder="1" applyAlignment="1">
      <alignment horizontal="center" vertical="center"/>
    </xf>
    <xf numFmtId="165" fontId="3" fillId="3" borderId="11" xfId="2" applyNumberFormat="1" applyFont="1" applyFill="1" applyBorder="1" applyAlignment="1">
      <alignment horizontal="center" vertical="center"/>
    </xf>
    <xf numFmtId="164" fontId="0" fillId="2" borderId="34" xfId="1" applyNumberFormat="1" applyFont="1" applyFill="1" applyBorder="1" applyAlignment="1">
      <alignment horizontal="center" vertical="center" wrapText="1"/>
    </xf>
    <xf numFmtId="165" fontId="0" fillId="2" borderId="6" xfId="2" applyNumberFormat="1" applyFont="1" applyFill="1" applyBorder="1" applyAlignment="1">
      <alignment horizontal="center" vertical="center" wrapText="1"/>
    </xf>
    <xf numFmtId="165" fontId="0" fillId="2" borderId="7" xfId="2" applyNumberFormat="1" applyFont="1" applyFill="1" applyBorder="1" applyAlignment="1">
      <alignment horizontal="center" vertical="center" wrapText="1"/>
    </xf>
    <xf numFmtId="0" fontId="3" fillId="3" borderId="2" xfId="0" applyFont="1" applyFill="1" applyBorder="1"/>
    <xf numFmtId="164" fontId="3" fillId="3" borderId="78" xfId="1" applyNumberFormat="1" applyFont="1" applyFill="1" applyBorder="1" applyAlignment="1">
      <alignment horizontal="center" vertical="center"/>
    </xf>
    <xf numFmtId="164" fontId="3" fillId="3" borderId="64" xfId="1" applyNumberFormat="1" applyFont="1" applyFill="1" applyBorder="1" applyAlignment="1">
      <alignment horizontal="center" vertical="center"/>
    </xf>
    <xf numFmtId="165" fontId="3" fillId="3" borderId="21" xfId="2" applyNumberFormat="1" applyFont="1" applyFill="1" applyBorder="1" applyAlignment="1">
      <alignment horizontal="center" vertical="center"/>
    </xf>
    <xf numFmtId="165" fontId="3" fillId="3" borderId="64" xfId="2" applyNumberFormat="1" applyFont="1" applyFill="1" applyBorder="1" applyAlignment="1">
      <alignment horizontal="center" vertical="center"/>
    </xf>
    <xf numFmtId="164" fontId="3" fillId="3" borderId="21" xfId="1" applyNumberFormat="1" applyFont="1" applyFill="1" applyBorder="1" applyAlignment="1">
      <alignment horizontal="center" vertical="center"/>
    </xf>
    <xf numFmtId="164" fontId="0" fillId="0" borderId="66" xfId="1" applyNumberFormat="1" applyFont="1" applyBorder="1" applyAlignment="1">
      <alignment horizontal="center" vertical="center"/>
    </xf>
    <xf numFmtId="165" fontId="0" fillId="0" borderId="23" xfId="2" applyNumberFormat="1" applyFont="1" applyBorder="1" applyAlignment="1">
      <alignment horizontal="center" vertical="center"/>
    </xf>
    <xf numFmtId="165" fontId="0" fillId="0" borderId="25" xfId="2" applyNumberFormat="1" applyFont="1" applyBorder="1" applyAlignment="1">
      <alignment horizontal="center" vertical="center"/>
    </xf>
    <xf numFmtId="0" fontId="6" fillId="2" borderId="78" xfId="0" applyFont="1" applyFill="1" applyBorder="1" applyAlignment="1">
      <alignment horizontal="center" vertical="center" wrapText="1"/>
    </xf>
    <xf numFmtId="0" fontId="6" fillId="7" borderId="76"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7" fillId="2" borderId="7" xfId="0" applyFont="1" applyFill="1" applyBorder="1" applyAlignment="1">
      <alignment horizontal="center" vertical="center" wrapText="1"/>
    </xf>
    <xf numFmtId="164" fontId="7" fillId="0" borderId="0" xfId="1" applyNumberFormat="1" applyFont="1" applyFill="1" applyBorder="1" applyAlignment="1">
      <alignment horizontal="center" vertical="center" wrapText="1"/>
    </xf>
    <xf numFmtId="0" fontId="0" fillId="0" borderId="0" xfId="0" applyAlignment="1">
      <alignment wrapText="1"/>
    </xf>
    <xf numFmtId="164" fontId="0" fillId="0" borderId="0" xfId="0" applyNumberFormat="1"/>
    <xf numFmtId="0" fontId="3" fillId="0" borderId="0" xfId="0" applyFont="1"/>
    <xf numFmtId="0" fontId="23" fillId="0" borderId="0" xfId="8" applyFont="1"/>
    <xf numFmtId="0" fontId="22" fillId="0" borderId="0" xfId="8"/>
    <xf numFmtId="0" fontId="22" fillId="0" borderId="0" xfId="8" applyAlignment="1">
      <alignment vertical="top"/>
    </xf>
    <xf numFmtId="0" fontId="26" fillId="0" borderId="0" xfId="0" applyFont="1"/>
    <xf numFmtId="164" fontId="0" fillId="0" borderId="18" xfId="0" applyNumberFormat="1" applyBorder="1"/>
    <xf numFmtId="164" fontId="1" fillId="13" borderId="18" xfId="1" applyNumberFormat="1" applyFont="1" applyFill="1" applyBorder="1"/>
    <xf numFmtId="0" fontId="7" fillId="0" borderId="0" xfId="0" applyFont="1" applyAlignment="1">
      <alignment horizontal="center" vertical="center" wrapText="1"/>
    </xf>
    <xf numFmtId="10" fontId="0" fillId="0" borderId="0" xfId="3" applyNumberFormat="1" applyFont="1" applyFill="1" applyBorder="1" applyAlignment="1">
      <alignment horizontal="center" vertical="center"/>
    </xf>
    <xf numFmtId="0" fontId="28" fillId="0" borderId="0" xfId="8" applyFont="1" applyAlignment="1">
      <alignment vertical="center"/>
    </xf>
    <xf numFmtId="0" fontId="28" fillId="0" borderId="24" xfId="8" applyFont="1" applyBorder="1" applyAlignment="1">
      <alignment vertical="center"/>
    </xf>
    <xf numFmtId="0" fontId="28" fillId="0" borderId="24" xfId="8" applyFont="1" applyBorder="1" applyAlignment="1">
      <alignment horizontal="center" vertical="center"/>
    </xf>
    <xf numFmtId="0" fontId="28" fillId="0" borderId="0" xfId="8" applyFont="1" applyAlignment="1">
      <alignment horizontal="center" vertical="center"/>
    </xf>
    <xf numFmtId="165" fontId="3" fillId="3" borderId="22" xfId="0" applyNumberFormat="1" applyFont="1" applyFill="1" applyBorder="1" applyAlignment="1">
      <alignment horizontal="center"/>
    </xf>
    <xf numFmtId="0" fontId="11" fillId="0" borderId="14" xfId="0" applyFont="1" applyBorder="1"/>
    <xf numFmtId="164" fontId="3" fillId="3" borderId="72" xfId="0" applyNumberFormat="1" applyFont="1" applyFill="1" applyBorder="1" applyAlignment="1">
      <alignment horizontal="center"/>
    </xf>
    <xf numFmtId="165" fontId="8" fillId="3" borderId="21" xfId="0" applyNumberFormat="1" applyFont="1" applyFill="1" applyBorder="1" applyAlignment="1">
      <alignment horizontal="center"/>
    </xf>
    <xf numFmtId="164" fontId="2" fillId="0" borderId="0" xfId="0" applyNumberFormat="1" applyFont="1"/>
    <xf numFmtId="0" fontId="31" fillId="2" borderId="21" xfId="0" applyFont="1" applyFill="1" applyBorder="1" applyAlignment="1">
      <alignment horizontal="center" vertical="center" wrapText="1"/>
    </xf>
    <xf numFmtId="0" fontId="31" fillId="2" borderId="64" xfId="0" applyFont="1" applyFill="1" applyBorder="1" applyAlignment="1">
      <alignment horizontal="center" vertical="center" wrapText="1"/>
    </xf>
    <xf numFmtId="0" fontId="32" fillId="3" borderId="58" xfId="0" applyFont="1" applyFill="1" applyBorder="1" applyAlignment="1">
      <alignment horizontal="center" vertical="center" wrapText="1"/>
    </xf>
    <xf numFmtId="0" fontId="32" fillId="3" borderId="60" xfId="0" applyFont="1" applyFill="1" applyBorder="1" applyAlignment="1">
      <alignment horizontal="center" vertical="center" wrapText="1"/>
    </xf>
    <xf numFmtId="164" fontId="29" fillId="0" borderId="20" xfId="1" applyNumberFormat="1" applyFont="1" applyFill="1" applyBorder="1" applyAlignment="1">
      <alignment horizontal="center" vertical="center"/>
    </xf>
    <xf numFmtId="164" fontId="29" fillId="0" borderId="19" xfId="1" applyNumberFormat="1" applyFont="1" applyFill="1" applyBorder="1" applyAlignment="1">
      <alignment horizontal="center" vertical="center"/>
    </xf>
    <xf numFmtId="164" fontId="29" fillId="2" borderId="33" xfId="1" applyNumberFormat="1" applyFont="1" applyFill="1" applyBorder="1" applyAlignment="1">
      <alignment vertical="center" wrapText="1"/>
    </xf>
    <xf numFmtId="164" fontId="29" fillId="2" borderId="60" xfId="1" applyNumberFormat="1" applyFont="1" applyFill="1" applyBorder="1" applyAlignment="1">
      <alignment vertical="center" wrapText="1"/>
    </xf>
    <xf numFmtId="164" fontId="29" fillId="0" borderId="6" xfId="1" applyNumberFormat="1" applyFont="1" applyBorder="1" applyAlignment="1">
      <alignment horizontal="center" vertical="center"/>
    </xf>
    <xf numFmtId="164" fontId="29" fillId="0" borderId="7" xfId="1" applyNumberFormat="1" applyFont="1" applyBorder="1" applyAlignment="1">
      <alignment horizontal="center" vertical="center"/>
    </xf>
    <xf numFmtId="164" fontId="29" fillId="0" borderId="34" xfId="1" applyNumberFormat="1" applyFont="1" applyBorder="1" applyAlignment="1">
      <alignment horizontal="center" vertical="center"/>
    </xf>
    <xf numFmtId="165" fontId="0" fillId="0" borderId="55" xfId="2" applyNumberFormat="1" applyFont="1" applyBorder="1"/>
    <xf numFmtId="165" fontId="0" fillId="0" borderId="76" xfId="2" applyNumberFormat="1" applyFont="1" applyBorder="1"/>
    <xf numFmtId="165" fontId="3" fillId="0" borderId="28" xfId="0" applyNumberFormat="1" applyFont="1" applyBorder="1"/>
    <xf numFmtId="165" fontId="0" fillId="0" borderId="55" xfId="0" applyNumberFormat="1" applyBorder="1"/>
    <xf numFmtId="164" fontId="3" fillId="3" borderId="2" xfId="0" applyNumberFormat="1" applyFont="1" applyFill="1" applyBorder="1" applyAlignment="1">
      <alignment horizontal="center" vertical="center"/>
    </xf>
    <xf numFmtId="164" fontId="3" fillId="3" borderId="38" xfId="1" applyNumberFormat="1" applyFont="1" applyFill="1" applyBorder="1" applyAlignment="1">
      <alignment horizontal="center" vertical="center"/>
    </xf>
    <xf numFmtId="0" fontId="3" fillId="3" borderId="1" xfId="0" applyFont="1" applyFill="1" applyBorder="1"/>
    <xf numFmtId="0" fontId="0" fillId="0" borderId="9" xfId="0" applyBorder="1" applyAlignment="1">
      <alignment horizontal="left" vertical="center" wrapText="1"/>
    </xf>
    <xf numFmtId="0" fontId="0" fillId="0" borderId="28" xfId="0" applyBorder="1" applyAlignment="1">
      <alignment vertical="center" wrapText="1"/>
    </xf>
    <xf numFmtId="0" fontId="0" fillId="0" borderId="69" xfId="0" applyBorder="1" applyAlignment="1">
      <alignment horizontal="left" vertical="center" wrapText="1"/>
    </xf>
    <xf numFmtId="0" fontId="0" fillId="0" borderId="28" xfId="0" applyBorder="1" applyAlignment="1">
      <alignment horizontal="left" vertical="center" wrapText="1"/>
    </xf>
    <xf numFmtId="0" fontId="0" fillId="0" borderId="1" xfId="0" applyBorder="1" applyAlignment="1">
      <alignment horizontal="left" vertical="center" wrapText="1"/>
    </xf>
    <xf numFmtId="0" fontId="3" fillId="3" borderId="3" xfId="0" applyFont="1" applyFill="1" applyBorder="1"/>
    <xf numFmtId="0" fontId="0" fillId="2" borderId="54" xfId="0" applyFill="1" applyBorder="1" applyAlignment="1">
      <alignment vertical="center" wrapText="1"/>
    </xf>
    <xf numFmtId="0" fontId="0" fillId="2" borderId="42" xfId="0" applyFill="1" applyBorder="1" applyAlignment="1">
      <alignment vertical="center" wrapText="1"/>
    </xf>
    <xf numFmtId="0" fontId="0" fillId="0" borderId="73" xfId="0" applyBorder="1"/>
    <xf numFmtId="0" fontId="3" fillId="3" borderId="12" xfId="0" applyFont="1" applyFill="1" applyBorder="1"/>
    <xf numFmtId="164" fontId="3" fillId="3" borderId="38"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165" fontId="3" fillId="3" borderId="64" xfId="0" applyNumberFormat="1" applyFont="1" applyFill="1" applyBorder="1" applyAlignment="1">
      <alignment horizontal="center" vertical="center"/>
    </xf>
    <xf numFmtId="44" fontId="3" fillId="3" borderId="10" xfId="2" applyFont="1" applyFill="1" applyBorder="1" applyAlignment="1">
      <alignment horizontal="center" vertical="center"/>
    </xf>
    <xf numFmtId="44" fontId="3" fillId="3" borderId="11" xfId="2" applyFont="1" applyFill="1" applyBorder="1" applyAlignment="1">
      <alignment horizontal="center" vertical="center"/>
    </xf>
    <xf numFmtId="164" fontId="3" fillId="3" borderId="21" xfId="0" applyNumberFormat="1" applyFont="1" applyFill="1" applyBorder="1" applyAlignment="1">
      <alignment horizontal="center" vertical="center"/>
    </xf>
    <xf numFmtId="0" fontId="34" fillId="14" borderId="18" xfId="0" applyFont="1" applyFill="1" applyBorder="1" applyAlignment="1">
      <alignment horizontal="center" vertical="center"/>
    </xf>
    <xf numFmtId="0" fontId="34" fillId="14" borderId="18" xfId="0" applyFont="1" applyFill="1" applyBorder="1" applyAlignment="1">
      <alignment horizontal="center" vertical="center" wrapText="1"/>
    </xf>
    <xf numFmtId="0" fontId="35" fillId="0" borderId="18" xfId="0" applyFont="1" applyBorder="1"/>
    <xf numFmtId="10" fontId="17" fillId="0" borderId="18" xfId="0" applyNumberFormat="1" applyFont="1" applyBorder="1" applyAlignment="1">
      <alignment horizontal="center"/>
    </xf>
    <xf numFmtId="167" fontId="0" fillId="0" borderId="0" xfId="1" applyNumberFormat="1" applyFont="1"/>
    <xf numFmtId="0" fontId="0" fillId="0" borderId="81" xfId="0" applyBorder="1" applyAlignment="1">
      <alignment vertical="center" wrapText="1"/>
    </xf>
    <xf numFmtId="165" fontId="0" fillId="0" borderId="29" xfId="2" applyNumberFormat="1" applyFont="1" applyBorder="1" applyAlignment="1">
      <alignment horizontal="center" vertical="center"/>
    </xf>
    <xf numFmtId="165" fontId="0" fillId="0" borderId="31" xfId="2" applyNumberFormat="1" applyFont="1" applyBorder="1" applyAlignment="1">
      <alignment horizontal="center" vertical="center"/>
    </xf>
    <xf numFmtId="164" fontId="29" fillId="0" borderId="29" xfId="1" applyNumberFormat="1" applyFont="1" applyFill="1" applyBorder="1" applyAlignment="1">
      <alignment horizontal="center" vertical="center"/>
    </xf>
    <xf numFmtId="164" fontId="29" fillId="0" borderId="31" xfId="1" applyNumberFormat="1" applyFont="1" applyFill="1" applyBorder="1" applyAlignment="1">
      <alignment horizontal="center" vertical="center"/>
    </xf>
    <xf numFmtId="0" fontId="3" fillId="3" borderId="21" xfId="0" applyFont="1" applyFill="1" applyBorder="1"/>
    <xf numFmtId="0" fontId="3" fillId="3" borderId="38" xfId="0" applyFont="1" applyFill="1" applyBorder="1"/>
    <xf numFmtId="165" fontId="3" fillId="3" borderId="21" xfId="2" applyNumberFormat="1" applyFont="1" applyFill="1" applyBorder="1" applyAlignment="1">
      <alignment horizontal="center"/>
    </xf>
    <xf numFmtId="165" fontId="3" fillId="3" borderId="64" xfId="2" applyNumberFormat="1" applyFont="1" applyFill="1" applyBorder="1" applyAlignment="1">
      <alignment horizontal="center"/>
    </xf>
    <xf numFmtId="0" fontId="32" fillId="3" borderId="1"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2" fillId="3" borderId="65" xfId="0" applyFont="1" applyFill="1" applyBorder="1" applyAlignment="1">
      <alignment horizontal="center" vertical="center" wrapText="1"/>
    </xf>
    <xf numFmtId="164" fontId="29" fillId="2" borderId="65" xfId="1" applyNumberFormat="1" applyFont="1" applyFill="1" applyBorder="1" applyAlignment="1">
      <alignment vertical="center" wrapText="1"/>
    </xf>
    <xf numFmtId="164" fontId="29" fillId="0" borderId="29" xfId="1" applyNumberFormat="1" applyFont="1" applyBorder="1" applyAlignment="1">
      <alignment horizontal="center" vertical="center"/>
    </xf>
    <xf numFmtId="164" fontId="29" fillId="0" borderId="80" xfId="1" applyNumberFormat="1" applyFont="1" applyBorder="1" applyAlignment="1">
      <alignment horizontal="center" vertical="center"/>
    </xf>
    <xf numFmtId="164" fontId="29" fillId="0" borderId="31" xfId="1" applyNumberFormat="1" applyFont="1" applyBorder="1" applyAlignment="1">
      <alignment horizontal="center" vertical="center"/>
    </xf>
    <xf numFmtId="0" fontId="3" fillId="3" borderId="64" xfId="0" applyFont="1" applyFill="1" applyBorder="1"/>
    <xf numFmtId="165" fontId="3" fillId="3" borderId="21" xfId="2" applyNumberFormat="1" applyFont="1" applyFill="1" applyBorder="1"/>
    <xf numFmtId="165" fontId="3" fillId="3" borderId="64" xfId="2" applyNumberFormat="1" applyFont="1" applyFill="1" applyBorder="1"/>
    <xf numFmtId="164" fontId="3" fillId="3" borderId="64" xfId="1" applyNumberFormat="1" applyFont="1" applyFill="1" applyBorder="1" applyAlignment="1"/>
    <xf numFmtId="164" fontId="32" fillId="3" borderId="21" xfId="1" applyNumberFormat="1" applyFont="1" applyFill="1" applyBorder="1"/>
    <xf numFmtId="164" fontId="32" fillId="3" borderId="38" xfId="1" applyNumberFormat="1" applyFont="1" applyFill="1" applyBorder="1" applyAlignment="1"/>
    <xf numFmtId="164" fontId="32" fillId="3" borderId="64" xfId="1" applyNumberFormat="1" applyFont="1" applyFill="1" applyBorder="1" applyAlignment="1"/>
    <xf numFmtId="164" fontId="3" fillId="3" borderId="38" xfId="1" applyNumberFormat="1" applyFont="1" applyFill="1" applyBorder="1" applyAlignment="1"/>
    <xf numFmtId="164" fontId="3" fillId="6" borderId="21" xfId="1" applyNumberFormat="1" applyFont="1" applyFill="1" applyBorder="1" applyAlignment="1"/>
    <xf numFmtId="164" fontId="3" fillId="6" borderId="64" xfId="1" applyNumberFormat="1" applyFont="1" applyFill="1" applyBorder="1" applyAlignment="1"/>
    <xf numFmtId="164" fontId="3" fillId="3" borderId="21" xfId="1" applyNumberFormat="1" applyFont="1" applyFill="1" applyBorder="1" applyAlignment="1">
      <alignment horizontal="center"/>
    </xf>
    <xf numFmtId="164" fontId="3" fillId="3" borderId="64" xfId="1" applyNumberFormat="1" applyFont="1" applyFill="1" applyBorder="1" applyAlignment="1">
      <alignment horizontal="center"/>
    </xf>
    <xf numFmtId="0" fontId="3" fillId="3" borderId="63" xfId="0" applyFont="1" applyFill="1" applyBorder="1"/>
    <xf numFmtId="164" fontId="22" fillId="0" borderId="18" xfId="8" applyNumberFormat="1" applyBorder="1"/>
    <xf numFmtId="0" fontId="22" fillId="0" borderId="18" xfId="0" applyFont="1" applyBorder="1" applyAlignment="1">
      <alignment vertical="center" wrapText="1"/>
    </xf>
    <xf numFmtId="0" fontId="28" fillId="0" borderId="18" xfId="8" applyFont="1" applyBorder="1"/>
    <xf numFmtId="0" fontId="7" fillId="2" borderId="29" xfId="0" applyFont="1" applyFill="1" applyBorder="1" applyAlignment="1" applyProtection="1">
      <alignment horizontal="center" vertical="center" wrapText="1"/>
      <protection locked="0"/>
    </xf>
    <xf numFmtId="0" fontId="38" fillId="5" borderId="68" xfId="7" applyFont="1" applyFill="1" applyBorder="1"/>
    <xf numFmtId="165" fontId="3" fillId="0" borderId="58" xfId="2" applyNumberFormat="1" applyFont="1" applyBorder="1" applyAlignment="1">
      <alignment horizontal="center" wrapText="1"/>
    </xf>
    <xf numFmtId="165" fontId="3" fillId="0" borderId="41" xfId="2" applyNumberFormat="1" applyFont="1" applyBorder="1" applyAlignment="1">
      <alignment horizontal="center" wrapText="1"/>
    </xf>
    <xf numFmtId="165" fontId="3" fillId="0" borderId="1" xfId="2" applyNumberFormat="1" applyFont="1" applyBorder="1" applyAlignment="1">
      <alignment horizontal="center" wrapText="1"/>
    </xf>
    <xf numFmtId="0" fontId="3" fillId="12" borderId="0" xfId="0" applyFont="1" applyFill="1"/>
    <xf numFmtId="165" fontId="7" fillId="12" borderId="55" xfId="2" applyNumberFormat="1" applyFont="1" applyFill="1" applyBorder="1"/>
    <xf numFmtId="165" fontId="7" fillId="12" borderId="0" xfId="2" applyNumberFormat="1" applyFont="1" applyFill="1"/>
    <xf numFmtId="165" fontId="0" fillId="12" borderId="0" xfId="2" applyNumberFormat="1" applyFont="1" applyFill="1"/>
    <xf numFmtId="165" fontId="0" fillId="12" borderId="76" xfId="2" applyNumberFormat="1" applyFont="1" applyFill="1" applyBorder="1"/>
    <xf numFmtId="165" fontId="0" fillId="0" borderId="0" xfId="0" applyNumberFormat="1"/>
    <xf numFmtId="165" fontId="0" fillId="0" borderId="76" xfId="0" applyNumberFormat="1" applyBorder="1"/>
    <xf numFmtId="165" fontId="3" fillId="0" borderId="26" xfId="2" applyNumberFormat="1" applyFont="1" applyBorder="1"/>
    <xf numFmtId="165" fontId="0" fillId="0" borderId="55" xfId="2" applyNumberFormat="1" applyFont="1" applyFill="1" applyBorder="1"/>
    <xf numFmtId="165" fontId="0" fillId="0" borderId="15" xfId="2" applyNumberFormat="1" applyFont="1" applyBorder="1"/>
    <xf numFmtId="43" fontId="3" fillId="0" borderId="26" xfId="1" applyFont="1" applyBorder="1"/>
    <xf numFmtId="43" fontId="3" fillId="0" borderId="18" xfId="1" applyFont="1" applyBorder="1"/>
    <xf numFmtId="165" fontId="0" fillId="12" borderId="55" xfId="2" applyNumberFormat="1" applyFont="1" applyFill="1" applyBorder="1"/>
    <xf numFmtId="165" fontId="0" fillId="0" borderId="75" xfId="2" applyNumberFormat="1" applyFont="1" applyBorder="1"/>
    <xf numFmtId="165" fontId="0" fillId="0" borderId="45" xfId="0" applyNumberFormat="1" applyBorder="1"/>
    <xf numFmtId="165" fontId="0" fillId="0" borderId="45" xfId="2" applyNumberFormat="1" applyFont="1" applyBorder="1"/>
    <xf numFmtId="165" fontId="0" fillId="0" borderId="74" xfId="2" applyNumberFormat="1" applyFont="1" applyBorder="1"/>
    <xf numFmtId="165" fontId="0" fillId="0" borderId="69" xfId="2" applyNumberFormat="1" applyFont="1" applyBorder="1"/>
    <xf numFmtId="165" fontId="3" fillId="0" borderId="55" xfId="2" applyNumberFormat="1" applyFont="1" applyBorder="1"/>
    <xf numFmtId="165" fontId="3" fillId="0" borderId="62" xfId="2" applyNumberFormat="1" applyFont="1" applyBorder="1"/>
    <xf numFmtId="165" fontId="3" fillId="0" borderId="68" xfId="0" applyNumberFormat="1" applyFont="1" applyBorder="1"/>
    <xf numFmtId="165" fontId="3" fillId="0" borderId="29" xfId="2" applyNumberFormat="1" applyFont="1" applyBorder="1"/>
    <xf numFmtId="43" fontId="3" fillId="0" borderId="53" xfId="1" applyFont="1" applyBorder="1"/>
    <xf numFmtId="43" fontId="3" fillId="0" borderId="36" xfId="1" applyFont="1" applyBorder="1"/>
    <xf numFmtId="170" fontId="0" fillId="0" borderId="18" xfId="2" applyNumberFormat="1" applyFont="1" applyBorder="1" applyAlignment="1">
      <alignment horizontal="right"/>
    </xf>
    <xf numFmtId="170" fontId="0" fillId="0" borderId="18" xfId="3" applyNumberFormat="1" applyFont="1" applyBorder="1" applyAlignment="1">
      <alignment horizontal="right"/>
    </xf>
    <xf numFmtId="170" fontId="0" fillId="0" borderId="18" xfId="0" applyNumberFormat="1" applyBorder="1" applyAlignment="1">
      <alignment horizontal="right"/>
    </xf>
    <xf numFmtId="43" fontId="0" fillId="0" borderId="18" xfId="3" applyNumberFormat="1" applyFont="1" applyBorder="1" applyAlignment="1">
      <alignment horizontal="right"/>
    </xf>
    <xf numFmtId="0" fontId="0" fillId="5" borderId="56" xfId="0" applyFill="1" applyBorder="1" applyAlignment="1">
      <alignment horizontal="left" vertical="center"/>
    </xf>
    <xf numFmtId="164" fontId="39" fillId="3" borderId="21" xfId="1" applyNumberFormat="1" applyFont="1" applyFill="1" applyBorder="1" applyAlignment="1">
      <alignment horizontal="center"/>
    </xf>
    <xf numFmtId="164" fontId="39" fillId="3" borderId="38" xfId="1" applyNumberFormat="1" applyFont="1" applyFill="1" applyBorder="1" applyAlignment="1">
      <alignment horizontal="center"/>
    </xf>
    <xf numFmtId="164" fontId="39" fillId="3" borderId="64" xfId="1" applyNumberFormat="1" applyFont="1" applyFill="1" applyBorder="1" applyAlignment="1">
      <alignment horizontal="center"/>
    </xf>
    <xf numFmtId="164" fontId="40" fillId="0" borderId="21" xfId="1" applyNumberFormat="1" applyFont="1" applyBorder="1" applyAlignment="1">
      <alignment horizontal="center"/>
    </xf>
    <xf numFmtId="164" fontId="40" fillId="0" borderId="38" xfId="1" applyNumberFormat="1" applyFont="1" applyFill="1" applyBorder="1" applyAlignment="1">
      <alignment horizontal="center"/>
    </xf>
    <xf numFmtId="164" fontId="40" fillId="0" borderId="64" xfId="1" applyNumberFormat="1" applyFont="1" applyFill="1" applyBorder="1" applyAlignment="1">
      <alignment horizontal="center"/>
    </xf>
    <xf numFmtId="164" fontId="39" fillId="3" borderId="36" xfId="1" applyNumberFormat="1" applyFont="1" applyFill="1" applyBorder="1" applyAlignment="1">
      <alignment horizontal="center"/>
    </xf>
    <xf numFmtId="164" fontId="39" fillId="3" borderId="44" xfId="1" applyNumberFormat="1" applyFont="1" applyFill="1" applyBorder="1" applyAlignment="1">
      <alignment horizontal="center"/>
    </xf>
    <xf numFmtId="164" fontId="39" fillId="3" borderId="40" xfId="1" applyNumberFormat="1" applyFont="1" applyFill="1" applyBorder="1" applyAlignment="1">
      <alignment horizontal="center"/>
    </xf>
    <xf numFmtId="164" fontId="40" fillId="2" borderId="33" xfId="1" applyNumberFormat="1" applyFont="1" applyFill="1" applyBorder="1" applyAlignment="1">
      <alignment vertical="center" wrapText="1"/>
    </xf>
    <xf numFmtId="164" fontId="40" fillId="2" borderId="65" xfId="1" applyNumberFormat="1" applyFont="1" applyFill="1" applyBorder="1" applyAlignment="1">
      <alignment vertical="center" wrapText="1"/>
    </xf>
    <xf numFmtId="164" fontId="40" fillId="2" borderId="60" xfId="1" applyNumberFormat="1" applyFont="1" applyFill="1" applyBorder="1" applyAlignment="1">
      <alignment vertical="center" wrapText="1"/>
    </xf>
    <xf numFmtId="164" fontId="39" fillId="6" borderId="36" xfId="1" applyNumberFormat="1" applyFont="1" applyFill="1" applyBorder="1" applyAlignment="1"/>
    <xf numFmtId="164" fontId="39" fillId="6" borderId="44" xfId="1" applyNumberFormat="1" applyFont="1" applyFill="1" applyBorder="1" applyAlignment="1"/>
    <xf numFmtId="164" fontId="39" fillId="6" borderId="40" xfId="1" applyNumberFormat="1" applyFont="1" applyFill="1" applyBorder="1" applyAlignment="1"/>
    <xf numFmtId="166" fontId="3" fillId="8" borderId="39" xfId="3" applyNumberFormat="1" applyFont="1" applyFill="1" applyBorder="1" applyAlignment="1">
      <alignment horizontal="center"/>
    </xf>
    <xf numFmtId="0" fontId="41" fillId="15" borderId="0" xfId="0" applyFont="1" applyFill="1"/>
    <xf numFmtId="0" fontId="41" fillId="16" borderId="0" xfId="0" applyFont="1" applyFill="1"/>
    <xf numFmtId="0" fontId="14" fillId="0" borderId="0" xfId="0" applyFont="1"/>
    <xf numFmtId="0" fontId="41" fillId="17" borderId="0" xfId="0" applyFont="1" applyFill="1"/>
    <xf numFmtId="0" fontId="41" fillId="18" borderId="0" xfId="0" applyFont="1" applyFill="1"/>
    <xf numFmtId="0" fontId="41" fillId="19" borderId="0" xfId="0" applyFont="1" applyFill="1"/>
    <xf numFmtId="0" fontId="41" fillId="20" borderId="0" xfId="0" applyFont="1" applyFill="1"/>
    <xf numFmtId="164" fontId="0" fillId="21" borderId="6" xfId="1" applyNumberFormat="1" applyFont="1" applyFill="1" applyBorder="1" applyAlignment="1">
      <alignment horizontal="center" vertical="center"/>
    </xf>
    <xf numFmtId="164" fontId="11" fillId="21" borderId="29" xfId="1" applyNumberFormat="1" applyFont="1" applyFill="1" applyBorder="1" applyAlignment="1">
      <alignment horizontal="center" vertical="center"/>
    </xf>
    <xf numFmtId="164" fontId="0" fillId="21" borderId="8" xfId="1" applyNumberFormat="1" applyFont="1" applyFill="1" applyBorder="1" applyAlignment="1">
      <alignment horizontal="center" vertical="center"/>
    </xf>
    <xf numFmtId="164" fontId="11" fillId="21" borderId="30" xfId="1" applyNumberFormat="1" applyFont="1" applyFill="1" applyBorder="1" applyAlignment="1">
      <alignment horizontal="center" vertical="center"/>
    </xf>
    <xf numFmtId="164" fontId="0" fillId="21" borderId="58" xfId="1" applyNumberFormat="1" applyFont="1" applyFill="1" applyBorder="1" applyAlignment="1">
      <alignment horizontal="center" vertical="center"/>
    </xf>
    <xf numFmtId="164" fontId="0" fillId="21" borderId="26" xfId="1" applyNumberFormat="1" applyFont="1" applyFill="1" applyBorder="1" applyAlignment="1">
      <alignment horizontal="center" vertical="center"/>
    </xf>
    <xf numFmtId="164" fontId="0" fillId="21" borderId="62" xfId="1" applyNumberFormat="1" applyFont="1" applyFill="1" applyBorder="1" applyAlignment="1">
      <alignment horizontal="center" vertical="center"/>
    </xf>
    <xf numFmtId="164" fontId="0" fillId="21" borderId="8" xfId="1" applyNumberFormat="1" applyFont="1" applyFill="1" applyBorder="1" applyAlignment="1">
      <alignment horizontal="center"/>
    </xf>
    <xf numFmtId="164" fontId="0" fillId="21" borderId="18" xfId="1" applyNumberFormat="1" applyFont="1" applyFill="1" applyBorder="1" applyAlignment="1">
      <alignment horizontal="center" vertical="center"/>
    </xf>
    <xf numFmtId="167" fontId="0" fillId="21" borderId="8" xfId="1" applyNumberFormat="1" applyFont="1" applyFill="1" applyBorder="1" applyAlignment="1">
      <alignment horizontal="center"/>
    </xf>
    <xf numFmtId="164" fontId="0" fillId="21" borderId="9" xfId="1" applyNumberFormat="1" applyFont="1" applyFill="1" applyBorder="1" applyAlignment="1">
      <alignment horizontal="center"/>
    </xf>
    <xf numFmtId="167" fontId="0" fillId="21" borderId="18" xfId="1" applyNumberFormat="1" applyFont="1" applyFill="1" applyBorder="1" applyAlignment="1">
      <alignment horizontal="center"/>
    </xf>
    <xf numFmtId="164" fontId="0" fillId="21" borderId="18" xfId="1" applyNumberFormat="1" applyFont="1" applyFill="1" applyBorder="1" applyAlignment="1">
      <alignment horizontal="center"/>
    </xf>
    <xf numFmtId="164" fontId="0" fillId="21" borderId="28" xfId="1" applyNumberFormat="1" applyFont="1" applyFill="1" applyBorder="1" applyAlignment="1">
      <alignment horizontal="center"/>
    </xf>
    <xf numFmtId="164" fontId="0" fillId="21" borderId="42" xfId="1" applyNumberFormat="1" applyFont="1" applyFill="1" applyBorder="1" applyAlignment="1">
      <alignment horizontal="center" vertical="center"/>
    </xf>
    <xf numFmtId="164" fontId="0" fillId="21" borderId="32" xfId="1" applyNumberFormat="1" applyFont="1" applyFill="1" applyBorder="1" applyAlignment="1">
      <alignment horizontal="center" vertical="center"/>
    </xf>
    <xf numFmtId="164" fontId="0" fillId="21" borderId="20" xfId="1" applyNumberFormat="1" applyFont="1" applyFill="1" applyBorder="1" applyAlignment="1">
      <alignment horizontal="center" vertical="center"/>
    </xf>
    <xf numFmtId="0" fontId="41" fillId="22" borderId="0" xfId="0" applyFont="1" applyFill="1"/>
    <xf numFmtId="167" fontId="14" fillId="23" borderId="22" xfId="1" applyNumberFormat="1" applyFont="1" applyFill="1" applyBorder="1" applyAlignment="1">
      <alignment horizontal="center"/>
    </xf>
    <xf numFmtId="164" fontId="14" fillId="23" borderId="22" xfId="1" applyNumberFormat="1" applyFont="1" applyFill="1" applyBorder="1" applyAlignment="1">
      <alignment horizontal="center"/>
    </xf>
    <xf numFmtId="164" fontId="14" fillId="23" borderId="3" xfId="1" applyNumberFormat="1" applyFont="1" applyFill="1" applyBorder="1" applyAlignment="1">
      <alignment horizontal="center"/>
    </xf>
    <xf numFmtId="167" fontId="17" fillId="23" borderId="24" xfId="1" applyNumberFormat="1" applyFont="1" applyFill="1" applyBorder="1" applyAlignment="1">
      <alignment horizontal="center"/>
    </xf>
    <xf numFmtId="164" fontId="17" fillId="23" borderId="24" xfId="1" applyNumberFormat="1" applyFont="1" applyFill="1" applyBorder="1" applyAlignment="1">
      <alignment horizontal="center"/>
    </xf>
    <xf numFmtId="164" fontId="17" fillId="23" borderId="69" xfId="1" applyNumberFormat="1" applyFont="1" applyFill="1" applyBorder="1" applyAlignment="1">
      <alignment horizontal="center"/>
    </xf>
    <xf numFmtId="167" fontId="14" fillId="23" borderId="18" xfId="1" applyNumberFormat="1" applyFont="1" applyFill="1" applyBorder="1" applyAlignment="1">
      <alignment horizontal="center"/>
    </xf>
    <xf numFmtId="164" fontId="14" fillId="23" borderId="18" xfId="1" applyNumberFormat="1" applyFont="1" applyFill="1" applyBorder="1" applyAlignment="1">
      <alignment horizontal="center"/>
    </xf>
    <xf numFmtId="164" fontId="14" fillId="23" borderId="28" xfId="1" applyNumberFormat="1" applyFont="1" applyFill="1" applyBorder="1" applyAlignment="1">
      <alignment horizontal="center"/>
    </xf>
    <xf numFmtId="167" fontId="14" fillId="23" borderId="13" xfId="1" applyNumberFormat="1" applyFont="1" applyFill="1" applyBorder="1" applyAlignment="1">
      <alignment horizontal="center"/>
    </xf>
    <xf numFmtId="164" fontId="14" fillId="23" borderId="13" xfId="1" applyNumberFormat="1" applyFont="1" applyFill="1" applyBorder="1" applyAlignment="1">
      <alignment horizontal="center"/>
    </xf>
    <xf numFmtId="164" fontId="14" fillId="23" borderId="77" xfId="1" applyNumberFormat="1" applyFont="1" applyFill="1" applyBorder="1" applyAlignment="1">
      <alignment horizontal="center"/>
    </xf>
    <xf numFmtId="164" fontId="0" fillId="23" borderId="21" xfId="1" applyNumberFormat="1" applyFont="1" applyFill="1" applyBorder="1" applyAlignment="1">
      <alignment horizontal="center" vertical="center"/>
    </xf>
    <xf numFmtId="164" fontId="17" fillId="23" borderId="23" xfId="1" applyNumberFormat="1" applyFont="1" applyFill="1" applyBorder="1" applyAlignment="1">
      <alignment horizontal="center" vertical="center"/>
    </xf>
    <xf numFmtId="164" fontId="0" fillId="23" borderId="20" xfId="1" applyNumberFormat="1" applyFont="1" applyFill="1" applyBorder="1" applyAlignment="1">
      <alignment horizontal="center" vertical="center"/>
    </xf>
    <xf numFmtId="164" fontId="0" fillId="23" borderId="10" xfId="1" applyNumberFormat="1" applyFont="1" applyFill="1" applyBorder="1" applyAlignment="1">
      <alignment horizontal="center" vertical="center"/>
    </xf>
    <xf numFmtId="164" fontId="0" fillId="23" borderId="22" xfId="1" applyNumberFormat="1" applyFont="1" applyFill="1" applyBorder="1" applyAlignment="1">
      <alignment horizontal="center" vertical="center"/>
    </xf>
    <xf numFmtId="164" fontId="17" fillId="23" borderId="24" xfId="1" applyNumberFormat="1" applyFont="1" applyFill="1" applyBorder="1" applyAlignment="1">
      <alignment horizontal="center" vertical="center"/>
    </xf>
    <xf numFmtId="164" fontId="0" fillId="23" borderId="18" xfId="1" applyNumberFormat="1" applyFont="1" applyFill="1" applyBorder="1" applyAlignment="1">
      <alignment horizontal="center" vertical="center"/>
    </xf>
    <xf numFmtId="164" fontId="0" fillId="23" borderId="13" xfId="1" applyNumberFormat="1" applyFont="1" applyFill="1" applyBorder="1" applyAlignment="1">
      <alignment horizontal="center" vertical="center"/>
    </xf>
    <xf numFmtId="165" fontId="0" fillId="13" borderId="21" xfId="1" applyNumberFormat="1" applyFont="1" applyFill="1" applyBorder="1" applyAlignment="1">
      <alignment horizontal="center" vertical="center"/>
    </xf>
    <xf numFmtId="165" fontId="0" fillId="13" borderId="23" xfId="1" applyNumberFormat="1" applyFont="1" applyFill="1" applyBorder="1" applyAlignment="1">
      <alignment horizontal="center" vertical="center"/>
    </xf>
    <xf numFmtId="165" fontId="0" fillId="13" borderId="20" xfId="1" applyNumberFormat="1" applyFont="1" applyFill="1" applyBorder="1" applyAlignment="1">
      <alignment horizontal="center" vertical="center"/>
    </xf>
    <xf numFmtId="165" fontId="0" fillId="13" borderId="10" xfId="1" applyNumberFormat="1" applyFont="1" applyFill="1" applyBorder="1" applyAlignment="1">
      <alignment horizontal="center" vertical="center"/>
    </xf>
    <xf numFmtId="165" fontId="0" fillId="13" borderId="22" xfId="2" applyNumberFormat="1" applyFont="1" applyFill="1" applyBorder="1" applyAlignment="1">
      <alignment horizontal="center" vertical="center"/>
    </xf>
    <xf numFmtId="165" fontId="0" fillId="13" borderId="24" xfId="2" applyNumberFormat="1" applyFont="1" applyFill="1" applyBorder="1" applyAlignment="1">
      <alignment horizontal="center" vertical="center"/>
    </xf>
    <xf numFmtId="165" fontId="0" fillId="13" borderId="18" xfId="2" applyNumberFormat="1" applyFont="1" applyFill="1" applyBorder="1" applyAlignment="1">
      <alignment horizontal="center" vertical="center"/>
    </xf>
    <xf numFmtId="165" fontId="0" fillId="13" borderId="13" xfId="2" applyNumberFormat="1" applyFont="1" applyFill="1" applyBorder="1" applyAlignment="1">
      <alignment horizontal="center" vertical="center"/>
    </xf>
    <xf numFmtId="165" fontId="0" fillId="13" borderId="42" xfId="0" applyNumberFormat="1" applyFill="1" applyBorder="1" applyAlignment="1">
      <alignment horizontal="center" vertical="center"/>
    </xf>
    <xf numFmtId="165" fontId="0" fillId="13" borderId="32" xfId="0" applyNumberFormat="1" applyFill="1" applyBorder="1" applyAlignment="1">
      <alignment horizontal="center" vertical="center"/>
    </xf>
    <xf numFmtId="165" fontId="0" fillId="13" borderId="8" xfId="2" applyNumberFormat="1" applyFont="1" applyFill="1" applyBorder="1" applyAlignment="1">
      <alignment horizontal="center" vertical="center"/>
    </xf>
    <xf numFmtId="165" fontId="0" fillId="13" borderId="18" xfId="0" applyNumberFormat="1" applyFill="1" applyBorder="1" applyAlignment="1">
      <alignment horizontal="center" vertical="center"/>
    </xf>
    <xf numFmtId="165" fontId="3" fillId="13" borderId="22" xfId="1" applyNumberFormat="1" applyFont="1" applyFill="1" applyBorder="1" applyAlignment="1">
      <alignment horizontal="center"/>
    </xf>
    <xf numFmtId="165" fontId="0" fillId="13" borderId="41" xfId="2" applyNumberFormat="1" applyFont="1" applyFill="1" applyBorder="1" applyAlignment="1">
      <alignment horizontal="center" vertical="center"/>
    </xf>
    <xf numFmtId="165" fontId="11" fillId="13" borderId="27" xfId="2" applyNumberFormat="1" applyFont="1" applyFill="1" applyBorder="1" applyAlignment="1">
      <alignment horizontal="center" vertical="center"/>
    </xf>
    <xf numFmtId="165" fontId="11" fillId="13" borderId="62" xfId="2" applyNumberFormat="1" applyFont="1" applyFill="1" applyBorder="1" applyAlignment="1">
      <alignment horizontal="center" vertical="center"/>
    </xf>
    <xf numFmtId="165" fontId="11" fillId="13" borderId="2" xfId="2" applyNumberFormat="1" applyFont="1" applyFill="1" applyBorder="1" applyAlignment="1">
      <alignment horizontal="center" vertical="center"/>
    </xf>
    <xf numFmtId="165" fontId="0" fillId="13" borderId="49" xfId="2" applyNumberFormat="1" applyFont="1" applyFill="1" applyBorder="1" applyAlignment="1">
      <alignment horizontal="center" vertical="center"/>
    </xf>
    <xf numFmtId="165" fontId="11" fillId="13" borderId="18" xfId="2" applyNumberFormat="1" applyFont="1" applyFill="1" applyBorder="1" applyAlignment="1">
      <alignment horizontal="center" vertical="center"/>
    </xf>
    <xf numFmtId="165" fontId="11" fillId="13" borderId="30" xfId="2" applyNumberFormat="1" applyFont="1" applyFill="1" applyBorder="1" applyAlignment="1">
      <alignment horizontal="center" vertical="center"/>
    </xf>
    <xf numFmtId="165" fontId="11" fillId="13" borderId="22" xfId="2" applyNumberFormat="1" applyFont="1" applyFill="1" applyBorder="1" applyAlignment="1">
      <alignment horizontal="center" vertical="center"/>
    </xf>
    <xf numFmtId="165" fontId="14" fillId="13" borderId="27" xfId="0" applyNumberFormat="1" applyFont="1" applyFill="1" applyBorder="1" applyAlignment="1">
      <alignment horizontal="center"/>
    </xf>
    <xf numFmtId="165" fontId="14" fillId="13" borderId="74" xfId="0" applyNumberFormat="1" applyFont="1" applyFill="1" applyBorder="1" applyAlignment="1">
      <alignment horizontal="center"/>
    </xf>
    <xf numFmtId="165" fontId="14" fillId="13" borderId="0" xfId="0" applyNumberFormat="1" applyFont="1" applyFill="1" applyAlignment="1">
      <alignment horizontal="center"/>
    </xf>
    <xf numFmtId="165" fontId="14" fillId="13" borderId="54" xfId="0" applyNumberFormat="1" applyFont="1" applyFill="1" applyBorder="1" applyAlignment="1">
      <alignment horizontal="center"/>
    </xf>
    <xf numFmtId="165" fontId="14" fillId="13" borderId="32" xfId="0" applyNumberFormat="1" applyFont="1" applyFill="1" applyBorder="1" applyAlignment="1">
      <alignment horizontal="center"/>
    </xf>
    <xf numFmtId="165" fontId="14" fillId="13" borderId="73" xfId="0" applyNumberFormat="1" applyFont="1" applyFill="1" applyBorder="1" applyAlignment="1">
      <alignment horizontal="center"/>
    </xf>
    <xf numFmtId="165" fontId="14" fillId="13" borderId="75" xfId="0" applyNumberFormat="1" applyFont="1" applyFill="1" applyBorder="1" applyAlignment="1">
      <alignment horizontal="center"/>
    </xf>
    <xf numFmtId="164" fontId="11" fillId="24" borderId="21" xfId="1" applyNumberFormat="1" applyFont="1" applyFill="1" applyBorder="1" applyAlignment="1">
      <alignment horizontal="center" vertical="center"/>
    </xf>
    <xf numFmtId="164" fontId="11" fillId="24" borderId="22" xfId="1" applyNumberFormat="1" applyFont="1" applyFill="1" applyBorder="1" applyAlignment="1">
      <alignment horizontal="center" vertical="center"/>
    </xf>
    <xf numFmtId="164" fontId="17" fillId="24" borderId="2" xfId="1" applyNumberFormat="1" applyFont="1" applyFill="1" applyBorder="1" applyAlignment="1">
      <alignment horizontal="center" vertical="center"/>
    </xf>
    <xf numFmtId="164" fontId="14" fillId="11" borderId="6" xfId="1" applyNumberFormat="1" applyFont="1" applyFill="1" applyBorder="1" applyAlignment="1">
      <alignment horizontal="center"/>
    </xf>
    <xf numFmtId="164" fontId="14" fillId="11" borderId="23" xfId="1" applyNumberFormat="1" applyFont="1" applyFill="1" applyBorder="1" applyAlignment="1">
      <alignment horizontal="center"/>
    </xf>
    <xf numFmtId="164" fontId="14" fillId="11" borderId="36" xfId="1" applyNumberFormat="1" applyFont="1" applyFill="1" applyBorder="1" applyAlignment="1">
      <alignment horizontal="center"/>
    </xf>
    <xf numFmtId="164" fontId="14" fillId="25" borderId="23" xfId="1" applyNumberFormat="1" applyFont="1" applyFill="1" applyBorder="1" applyAlignment="1">
      <alignment horizontal="center"/>
    </xf>
    <xf numFmtId="164" fontId="14" fillId="11" borderId="5" xfId="1" applyNumberFormat="1" applyFont="1" applyFill="1" applyBorder="1" applyAlignment="1">
      <alignment horizontal="center"/>
    </xf>
    <xf numFmtId="164" fontId="14" fillId="11" borderId="52" xfId="1" applyNumberFormat="1" applyFont="1" applyFill="1" applyBorder="1" applyAlignment="1">
      <alignment horizontal="center"/>
    </xf>
    <xf numFmtId="164" fontId="14" fillId="25" borderId="52" xfId="1" applyNumberFormat="1" applyFont="1" applyFill="1" applyBorder="1" applyAlignment="1">
      <alignment horizontal="center"/>
    </xf>
    <xf numFmtId="0" fontId="34" fillId="26" borderId="18" xfId="0" applyFont="1" applyFill="1" applyBorder="1" applyAlignment="1">
      <alignment horizontal="center" vertical="center"/>
    </xf>
    <xf numFmtId="0" fontId="34" fillId="26" borderId="18" xfId="0" applyFont="1" applyFill="1" applyBorder="1" applyAlignment="1">
      <alignment horizontal="center" vertical="center" wrapText="1"/>
    </xf>
    <xf numFmtId="167" fontId="0" fillId="0" borderId="18" xfId="1" applyNumberFormat="1" applyFont="1" applyBorder="1"/>
    <xf numFmtId="171" fontId="14" fillId="11" borderId="6" xfId="1" applyNumberFormat="1" applyFont="1" applyFill="1" applyBorder="1" applyAlignment="1">
      <alignment horizontal="right"/>
    </xf>
    <xf numFmtId="171" fontId="14" fillId="11" borderId="23" xfId="1" applyNumberFormat="1" applyFont="1" applyFill="1" applyBorder="1" applyAlignment="1">
      <alignment horizontal="right"/>
    </xf>
    <xf numFmtId="171" fontId="14" fillId="11" borderId="36" xfId="1" applyNumberFormat="1" applyFont="1" applyFill="1" applyBorder="1" applyAlignment="1">
      <alignment horizontal="right"/>
    </xf>
    <xf numFmtId="164" fontId="0" fillId="0" borderId="0" xfId="1" applyNumberFormat="1" applyFont="1" applyFill="1" applyBorder="1" applyAlignment="1">
      <alignment wrapText="1"/>
    </xf>
    <xf numFmtId="164" fontId="0" fillId="0" borderId="0" xfId="1" applyNumberFormat="1" applyFont="1" applyAlignment="1">
      <alignment wrapText="1"/>
    </xf>
    <xf numFmtId="165" fontId="3" fillId="0" borderId="0" xfId="2" applyNumberFormat="1" applyFont="1"/>
    <xf numFmtId="164" fontId="3" fillId="0" borderId="0" xfId="1" applyNumberFormat="1" applyFont="1"/>
    <xf numFmtId="0" fontId="6" fillId="7" borderId="82" xfId="0" applyFont="1" applyFill="1" applyBorder="1" applyAlignment="1">
      <alignment horizontal="center" vertical="center" wrapText="1"/>
    </xf>
    <xf numFmtId="0" fontId="6" fillId="7" borderId="87"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6" fillId="7" borderId="89" xfId="0" applyFont="1" applyFill="1" applyBorder="1" applyAlignment="1">
      <alignment horizontal="center" vertical="center" wrapText="1"/>
    </xf>
    <xf numFmtId="0" fontId="3" fillId="3" borderId="91" xfId="0" applyFont="1" applyFill="1" applyBorder="1"/>
    <xf numFmtId="0" fontId="3" fillId="3" borderId="92" xfId="0" applyFont="1" applyFill="1" applyBorder="1" applyAlignment="1">
      <alignment horizontal="center" vertical="center" wrapText="1"/>
    </xf>
    <xf numFmtId="0" fontId="3" fillId="3" borderId="98" xfId="0" applyFont="1" applyFill="1" applyBorder="1"/>
    <xf numFmtId="164" fontId="3" fillId="3" borderId="90" xfId="1" applyNumberFormat="1" applyFont="1" applyFill="1" applyBorder="1" applyAlignment="1">
      <alignment horizontal="center" vertical="center"/>
    </xf>
    <xf numFmtId="0" fontId="0" fillId="2" borderId="99" xfId="0" applyFill="1" applyBorder="1" applyAlignment="1">
      <alignment vertical="center" wrapText="1"/>
    </xf>
    <xf numFmtId="0" fontId="0" fillId="2" borderId="100" xfId="0" applyFill="1" applyBorder="1" applyAlignment="1">
      <alignment vertical="center" wrapText="1"/>
    </xf>
    <xf numFmtId="164" fontId="0" fillId="2" borderId="100" xfId="1" applyNumberFormat="1" applyFont="1" applyFill="1" applyBorder="1" applyAlignment="1">
      <alignment horizontal="center" vertical="center" wrapText="1"/>
    </xf>
    <xf numFmtId="0" fontId="0" fillId="0" borderId="102" xfId="0" applyBorder="1"/>
    <xf numFmtId="164" fontId="0" fillId="0" borderId="95" xfId="1" applyNumberFormat="1" applyFont="1" applyFill="1" applyBorder="1" applyAlignment="1">
      <alignment horizontal="center" vertical="center"/>
    </xf>
    <xf numFmtId="0" fontId="3" fillId="3" borderId="103" xfId="0" applyFont="1" applyFill="1" applyBorder="1"/>
    <xf numFmtId="164" fontId="3" fillId="3" borderId="97" xfId="1" applyNumberFormat="1" applyFont="1" applyFill="1" applyBorder="1" applyAlignment="1">
      <alignment horizontal="center" vertical="center"/>
    </xf>
    <xf numFmtId="0" fontId="3" fillId="3" borderId="104" xfId="0" applyFont="1" applyFill="1" applyBorder="1"/>
    <xf numFmtId="164" fontId="3" fillId="3" borderId="105" xfId="1" applyNumberFormat="1" applyFont="1" applyFill="1" applyBorder="1" applyAlignment="1"/>
    <xf numFmtId="164" fontId="3" fillId="6" borderId="106" xfId="1" applyNumberFormat="1" applyFont="1" applyFill="1" applyBorder="1" applyAlignment="1"/>
    <xf numFmtId="164" fontId="3" fillId="6" borderId="107" xfId="1" applyNumberFormat="1" applyFont="1" applyFill="1" applyBorder="1" applyAlignment="1"/>
    <xf numFmtId="165" fontId="3" fillId="3" borderId="106" xfId="2" applyNumberFormat="1" applyFont="1" applyFill="1" applyBorder="1" applyAlignment="1">
      <alignment horizontal="center"/>
    </xf>
    <xf numFmtId="165" fontId="3" fillId="3" borderId="108" xfId="2" applyNumberFormat="1" applyFont="1" applyFill="1" applyBorder="1" applyAlignment="1">
      <alignment horizontal="center"/>
    </xf>
    <xf numFmtId="164" fontId="3" fillId="6" borderId="109" xfId="1" applyNumberFormat="1" applyFont="1" applyFill="1" applyBorder="1" applyAlignment="1"/>
    <xf numFmtId="164" fontId="14" fillId="23" borderId="22" xfId="1" applyNumberFormat="1" applyFont="1" applyFill="1" applyBorder="1" applyAlignment="1">
      <alignment horizontal="center" vertical="center"/>
    </xf>
    <xf numFmtId="164" fontId="14" fillId="23" borderId="18" xfId="1" applyNumberFormat="1" applyFont="1" applyFill="1" applyBorder="1" applyAlignment="1">
      <alignment horizontal="center" vertical="center"/>
    </xf>
    <xf numFmtId="166" fontId="14" fillId="0" borderId="22" xfId="3" applyNumberFormat="1" applyFont="1" applyFill="1" applyBorder="1" applyAlignment="1">
      <alignment horizontal="center" vertical="center"/>
    </xf>
    <xf numFmtId="166" fontId="14" fillId="0" borderId="24" xfId="3" applyNumberFormat="1" applyFont="1" applyFill="1" applyBorder="1" applyAlignment="1">
      <alignment horizontal="center" vertical="center"/>
    </xf>
    <xf numFmtId="166" fontId="14" fillId="0" borderId="18" xfId="3" applyNumberFormat="1" applyFont="1" applyFill="1" applyBorder="1" applyAlignment="1">
      <alignment horizontal="center" vertical="center"/>
    </xf>
    <xf numFmtId="166" fontId="0" fillId="0" borderId="8" xfId="3" applyNumberFormat="1" applyFont="1" applyFill="1" applyBorder="1" applyAlignment="1">
      <alignment horizontal="center" vertical="center"/>
    </xf>
    <xf numFmtId="164" fontId="19" fillId="21" borderId="20" xfId="1" applyNumberFormat="1" applyFont="1" applyFill="1" applyBorder="1" applyAlignment="1">
      <alignment horizontal="center" vertical="center"/>
    </xf>
    <xf numFmtId="164" fontId="19" fillId="0" borderId="32" xfId="1" applyNumberFormat="1" applyFont="1" applyFill="1" applyBorder="1" applyAlignment="1">
      <alignment horizontal="center" vertical="center"/>
    </xf>
    <xf numFmtId="164" fontId="19" fillId="21" borderId="32" xfId="1" applyNumberFormat="1" applyFont="1" applyFill="1" applyBorder="1" applyAlignment="1">
      <alignment horizontal="center" vertical="center"/>
    </xf>
    <xf numFmtId="164" fontId="0" fillId="21" borderId="30" xfId="1" applyNumberFormat="1" applyFont="1" applyFill="1" applyBorder="1" applyAlignment="1">
      <alignment horizontal="center" vertical="center"/>
    </xf>
    <xf numFmtId="166" fontId="0" fillId="0" borderId="30" xfId="3" applyNumberFormat="1" applyFont="1" applyFill="1" applyBorder="1" applyAlignment="1">
      <alignment horizontal="center" vertical="center"/>
    </xf>
    <xf numFmtId="164" fontId="0" fillId="24" borderId="22" xfId="1" applyNumberFormat="1" applyFont="1" applyFill="1" applyBorder="1" applyAlignment="1">
      <alignment horizontal="center" vertical="center"/>
    </xf>
    <xf numFmtId="166" fontId="0" fillId="0" borderId="22" xfId="3" applyNumberFormat="1" applyFont="1" applyFill="1" applyBorder="1" applyAlignment="1">
      <alignment horizontal="center" vertical="center"/>
    </xf>
    <xf numFmtId="0" fontId="7" fillId="2" borderId="73" xfId="0" applyFont="1" applyFill="1" applyBorder="1" applyAlignment="1">
      <alignment horizontal="center" vertical="center" wrapText="1"/>
    </xf>
    <xf numFmtId="0" fontId="7" fillId="2" borderId="24" xfId="0" applyFont="1" applyFill="1" applyBorder="1" applyAlignment="1">
      <alignment horizontal="center" vertical="center" wrapText="1"/>
    </xf>
    <xf numFmtId="164" fontId="11" fillId="28" borderId="18" xfId="1" applyNumberFormat="1" applyFont="1" applyFill="1" applyBorder="1" applyAlignment="1">
      <alignment horizontal="center"/>
    </xf>
    <xf numFmtId="167" fontId="11" fillId="28" borderId="18" xfId="1" applyNumberFormat="1" applyFont="1" applyFill="1" applyBorder="1" applyAlignment="1">
      <alignment horizontal="center"/>
    </xf>
    <xf numFmtId="171" fontId="19" fillId="28" borderId="18" xfId="0" applyNumberFormat="1" applyFont="1" applyFill="1" applyBorder="1"/>
    <xf numFmtId="164" fontId="3" fillId="28" borderId="18" xfId="1" applyNumberFormat="1" applyFont="1" applyFill="1" applyBorder="1" applyAlignment="1">
      <alignment horizontal="center"/>
    </xf>
    <xf numFmtId="167" fontId="3" fillId="28" borderId="18" xfId="1" applyNumberFormat="1" applyFont="1" applyFill="1" applyBorder="1" applyAlignment="1">
      <alignment horizontal="center"/>
    </xf>
    <xf numFmtId="167" fontId="17" fillId="28" borderId="18" xfId="1" applyNumberFormat="1" applyFont="1" applyFill="1" applyBorder="1" applyAlignment="1">
      <alignment horizontal="center"/>
    </xf>
    <xf numFmtId="167" fontId="14" fillId="28" borderId="18" xfId="1" applyNumberFormat="1" applyFont="1" applyFill="1" applyBorder="1" applyAlignment="1">
      <alignment horizontal="center"/>
    </xf>
    <xf numFmtId="164" fontId="42" fillId="28" borderId="18" xfId="1" applyNumberFormat="1" applyFont="1" applyFill="1" applyBorder="1" applyAlignment="1">
      <alignment horizontal="center"/>
    </xf>
    <xf numFmtId="167" fontId="42" fillId="28" borderId="18" xfId="1" applyNumberFormat="1" applyFont="1" applyFill="1" applyBorder="1" applyAlignment="1">
      <alignment horizontal="center"/>
    </xf>
    <xf numFmtId="167" fontId="14" fillId="28" borderId="13" xfId="1" applyNumberFormat="1" applyFont="1" applyFill="1" applyBorder="1" applyAlignment="1">
      <alignment horizontal="center"/>
    </xf>
    <xf numFmtId="164" fontId="0" fillId="28" borderId="22" xfId="1" applyNumberFormat="1" applyFont="1" applyFill="1" applyBorder="1" applyAlignment="1">
      <alignment horizontal="center" vertical="center" wrapText="1"/>
    </xf>
    <xf numFmtId="164" fontId="0" fillId="28" borderId="18" xfId="1" applyNumberFormat="1" applyFont="1" applyFill="1" applyBorder="1" applyAlignment="1">
      <alignment horizontal="center"/>
    </xf>
    <xf numFmtId="167" fontId="0" fillId="28" borderId="18" xfId="1" applyNumberFormat="1" applyFont="1" applyFill="1" applyBorder="1" applyAlignment="1">
      <alignment horizontal="center"/>
    </xf>
    <xf numFmtId="164" fontId="3" fillId="28" borderId="22" xfId="1" applyNumberFormat="1" applyFont="1" applyFill="1" applyBorder="1" applyAlignment="1">
      <alignment horizontal="center"/>
    </xf>
    <xf numFmtId="0" fontId="19" fillId="28" borderId="18" xfId="0" applyFont="1" applyFill="1" applyBorder="1"/>
    <xf numFmtId="164" fontId="0" fillId="28" borderId="18" xfId="1" applyNumberFormat="1" applyFont="1" applyFill="1" applyBorder="1" applyAlignment="1">
      <alignment horizontal="center" vertical="center"/>
    </xf>
    <xf numFmtId="164" fontId="40" fillId="28" borderId="18" xfId="1" applyNumberFormat="1" applyFont="1" applyFill="1" applyBorder="1" applyAlignment="1">
      <alignment horizontal="center"/>
    </xf>
    <xf numFmtId="167" fontId="40" fillId="28" borderId="18" xfId="1" applyNumberFormat="1" applyFont="1" applyFill="1" applyBorder="1" applyAlignment="1">
      <alignment horizontal="center"/>
    </xf>
    <xf numFmtId="164" fontId="0" fillId="28" borderId="13" xfId="1" applyNumberFormat="1" applyFont="1" applyFill="1" applyBorder="1" applyAlignment="1">
      <alignment horizontal="center"/>
    </xf>
    <xf numFmtId="164" fontId="0" fillId="28" borderId="24" xfId="1" applyNumberFormat="1" applyFont="1" applyFill="1" applyBorder="1" applyAlignment="1">
      <alignment horizontal="center" vertical="center" wrapText="1"/>
    </xf>
    <xf numFmtId="167" fontId="3" fillId="28" borderId="22" xfId="1" applyNumberFormat="1" applyFont="1" applyFill="1" applyBorder="1" applyAlignment="1">
      <alignment horizontal="center"/>
    </xf>
    <xf numFmtId="167" fontId="0" fillId="28" borderId="13" xfId="1" applyNumberFormat="1" applyFont="1" applyFill="1" applyBorder="1" applyAlignment="1">
      <alignment horizontal="center"/>
    </xf>
    <xf numFmtId="164" fontId="8" fillId="28" borderId="22" xfId="1" applyNumberFormat="1" applyFont="1" applyFill="1" applyBorder="1" applyAlignment="1">
      <alignment horizontal="center"/>
    </xf>
    <xf numFmtId="164" fontId="42" fillId="28" borderId="13" xfId="1" applyNumberFormat="1" applyFont="1" applyFill="1" applyBorder="1" applyAlignment="1">
      <alignment horizontal="center"/>
    </xf>
    <xf numFmtId="167" fontId="42" fillId="28" borderId="13" xfId="1" applyNumberFormat="1" applyFont="1" applyFill="1" applyBorder="1" applyAlignment="1">
      <alignment horizontal="center"/>
    </xf>
    <xf numFmtId="167" fontId="0" fillId="28" borderId="24" xfId="1" applyNumberFormat="1" applyFont="1" applyFill="1" applyBorder="1" applyAlignment="1">
      <alignment horizontal="center" vertical="center" wrapText="1"/>
    </xf>
    <xf numFmtId="164" fontId="11" fillId="28" borderId="13" xfId="1" applyNumberFormat="1" applyFont="1" applyFill="1" applyBorder="1" applyAlignment="1">
      <alignment horizontal="center"/>
    </xf>
    <xf numFmtId="167" fontId="11" fillId="28" borderId="13" xfId="1" applyNumberFormat="1" applyFont="1" applyFill="1" applyBorder="1" applyAlignment="1">
      <alignment horizontal="center"/>
    </xf>
    <xf numFmtId="0" fontId="19" fillId="28" borderId="13" xfId="0" applyFont="1" applyFill="1" applyBorder="1"/>
    <xf numFmtId="164" fontId="0" fillId="28" borderId="24" xfId="1" applyNumberFormat="1" applyFont="1" applyFill="1" applyBorder="1" applyAlignment="1">
      <alignment horizontal="center" vertical="center"/>
    </xf>
    <xf numFmtId="164" fontId="11" fillId="28" borderId="24" xfId="1" applyNumberFormat="1" applyFont="1" applyFill="1" applyBorder="1" applyAlignment="1">
      <alignment horizontal="center"/>
    </xf>
    <xf numFmtId="167" fontId="11" fillId="28" borderId="24" xfId="1" applyNumberFormat="1" applyFont="1" applyFill="1" applyBorder="1" applyAlignment="1">
      <alignment horizontal="center"/>
    </xf>
    <xf numFmtId="167" fontId="8" fillId="28" borderId="22" xfId="1" applyNumberFormat="1" applyFont="1" applyFill="1" applyBorder="1" applyAlignment="1">
      <alignment horizontal="center"/>
    </xf>
    <xf numFmtId="0" fontId="3" fillId="3" borderId="24" xfId="1" applyNumberFormat="1" applyFont="1" applyFill="1" applyBorder="1" applyAlignment="1">
      <alignment horizontal="center"/>
    </xf>
    <xf numFmtId="0" fontId="3" fillId="3" borderId="8" xfId="1" applyNumberFormat="1" applyFont="1" applyFill="1" applyBorder="1" applyAlignment="1">
      <alignment horizontal="center"/>
    </xf>
    <xf numFmtId="171" fontId="0" fillId="28" borderId="18" xfId="1" applyNumberFormat="1" applyFont="1" applyFill="1" applyBorder="1" applyAlignment="1">
      <alignment horizontal="right"/>
    </xf>
    <xf numFmtId="165" fontId="3" fillId="8" borderId="0" xfId="2" applyNumberFormat="1" applyFont="1" applyFill="1" applyBorder="1" applyAlignment="1">
      <alignment horizontal="center" vertical="center"/>
    </xf>
    <xf numFmtId="167" fontId="17" fillId="24" borderId="22" xfId="1" applyNumberFormat="1" applyFont="1" applyFill="1" applyBorder="1" applyAlignment="1">
      <alignment horizontal="center" vertical="center"/>
    </xf>
    <xf numFmtId="164" fontId="0" fillId="24" borderId="3" xfId="1" applyNumberFormat="1" applyFont="1" applyFill="1" applyBorder="1" applyAlignment="1">
      <alignment horizontal="center" vertical="center"/>
    </xf>
    <xf numFmtId="0" fontId="3" fillId="9" borderId="45" xfId="0" applyFont="1" applyFill="1" applyBorder="1" applyAlignment="1">
      <alignment vertical="center"/>
    </xf>
    <xf numFmtId="166" fontId="3" fillId="8" borderId="22" xfId="3" applyNumberFormat="1" applyFont="1" applyFill="1" applyBorder="1" applyAlignment="1">
      <alignment horizontal="center" vertical="center"/>
    </xf>
    <xf numFmtId="173" fontId="3" fillId="8" borderId="22" xfId="1" applyNumberFormat="1" applyFont="1" applyFill="1" applyBorder="1" applyAlignment="1">
      <alignment horizontal="right" vertical="center"/>
    </xf>
    <xf numFmtId="164" fontId="8" fillId="8" borderId="22" xfId="1" applyNumberFormat="1" applyFont="1" applyFill="1" applyBorder="1" applyAlignment="1">
      <alignment horizontal="center" vertical="center"/>
    </xf>
    <xf numFmtId="164" fontId="8" fillId="8" borderId="64" xfId="1" applyNumberFormat="1" applyFont="1" applyFill="1" applyBorder="1" applyAlignment="1">
      <alignment horizontal="center" vertical="center"/>
    </xf>
    <xf numFmtId="172" fontId="0" fillId="0" borderId="21" xfId="0" applyNumberFormat="1" applyBorder="1" applyAlignment="1">
      <alignment horizontal="center" vertical="center"/>
    </xf>
    <xf numFmtId="0" fontId="0" fillId="0" borderId="3" xfId="0" applyBorder="1" applyAlignment="1">
      <alignment horizontal="center" vertical="center"/>
    </xf>
    <xf numFmtId="164" fontId="17" fillId="0" borderId="6" xfId="1" applyNumberFormat="1" applyFont="1" applyFill="1" applyBorder="1" applyAlignment="1">
      <alignment horizontal="center" vertical="center"/>
    </xf>
    <xf numFmtId="164" fontId="17" fillId="0" borderId="9" xfId="1" applyNumberFormat="1" applyFont="1" applyFill="1" applyBorder="1" applyAlignment="1">
      <alignment horizontal="center" vertical="center"/>
    </xf>
    <xf numFmtId="164" fontId="0" fillId="0" borderId="20" xfId="1" applyNumberFormat="1" applyFont="1" applyFill="1" applyBorder="1" applyAlignment="1">
      <alignment horizontal="center" vertical="center"/>
    </xf>
    <xf numFmtId="164" fontId="0" fillId="0" borderId="19" xfId="1" applyNumberFormat="1" applyFont="1" applyFill="1" applyBorder="1" applyAlignment="1">
      <alignment horizontal="center" vertical="center"/>
    </xf>
    <xf numFmtId="164" fontId="0" fillId="0" borderId="29" xfId="1" applyNumberFormat="1" applyFont="1" applyFill="1" applyBorder="1" applyAlignment="1">
      <alignment horizontal="center" vertical="center"/>
    </xf>
    <xf numFmtId="164" fontId="0" fillId="0" borderId="31" xfId="1" applyNumberFormat="1" applyFont="1" applyFill="1" applyBorder="1" applyAlignment="1">
      <alignment horizontal="center" vertical="center"/>
    </xf>
    <xf numFmtId="167" fontId="0" fillId="21" borderId="8" xfId="1" applyNumberFormat="1" applyFont="1" applyFill="1" applyBorder="1" applyAlignment="1">
      <alignment horizontal="right" vertical="center"/>
    </xf>
    <xf numFmtId="164" fontId="0" fillId="21" borderId="9" xfId="1" applyNumberFormat="1" applyFont="1" applyFill="1" applyBorder="1" applyAlignment="1">
      <alignment horizontal="center" vertical="center"/>
    </xf>
    <xf numFmtId="167" fontId="0" fillId="21" borderId="18" xfId="1" applyNumberFormat="1" applyFont="1" applyFill="1" applyBorder="1" applyAlignment="1">
      <alignment horizontal="right" vertical="center"/>
    </xf>
    <xf numFmtId="164" fontId="0" fillId="21" borderId="28" xfId="1" applyNumberFormat="1" applyFont="1" applyFill="1" applyBorder="1" applyAlignment="1">
      <alignment horizontal="center" vertical="center"/>
    </xf>
    <xf numFmtId="167" fontId="0" fillId="21" borderId="30" xfId="1" applyNumberFormat="1" applyFont="1" applyFill="1" applyBorder="1" applyAlignment="1">
      <alignment horizontal="right" vertical="center"/>
    </xf>
    <xf numFmtId="164" fontId="0" fillId="21" borderId="68" xfId="1" applyNumberFormat="1" applyFont="1" applyFill="1" applyBorder="1" applyAlignment="1">
      <alignment horizontal="center" vertical="center"/>
    </xf>
    <xf numFmtId="171" fontId="14" fillId="25" borderId="23" xfId="1" applyNumberFormat="1" applyFont="1" applyFill="1" applyBorder="1" applyAlignment="1">
      <alignment horizontal="right" wrapText="1"/>
    </xf>
    <xf numFmtId="164" fontId="0" fillId="0" borderId="8" xfId="1" applyNumberFormat="1" applyFont="1" applyBorder="1" applyAlignment="1">
      <alignment horizontal="center" vertical="center"/>
    </xf>
    <xf numFmtId="166" fontId="0" fillId="0" borderId="7" xfId="3" applyNumberFormat="1" applyFont="1" applyBorder="1" applyAlignment="1">
      <alignment horizontal="center" vertical="center"/>
    </xf>
    <xf numFmtId="165" fontId="0" fillId="0" borderId="49" xfId="2" applyNumberFormat="1" applyFont="1" applyBorder="1" applyAlignment="1">
      <alignment horizontal="center" vertical="center"/>
    </xf>
    <xf numFmtId="166" fontId="0" fillId="0" borderId="41" xfId="3" applyNumberFormat="1" applyFont="1" applyBorder="1" applyAlignment="1">
      <alignment horizontal="center" vertical="center"/>
    </xf>
    <xf numFmtId="164" fontId="0" fillId="0" borderId="49" xfId="1" applyNumberFormat="1" applyFont="1" applyBorder="1" applyAlignment="1">
      <alignment horizontal="center" vertical="center"/>
    </xf>
    <xf numFmtId="166" fontId="0" fillId="0" borderId="8" xfId="3" applyNumberFormat="1" applyFont="1" applyBorder="1" applyAlignment="1">
      <alignment horizontal="center" vertical="center"/>
    </xf>
    <xf numFmtId="166" fontId="11" fillId="0" borderId="19" xfId="3" applyNumberFormat="1" applyFont="1" applyBorder="1" applyAlignment="1">
      <alignment horizontal="center" vertical="center"/>
    </xf>
    <xf numFmtId="165" fontId="11" fillId="0" borderId="18" xfId="2" applyNumberFormat="1" applyFont="1" applyBorder="1" applyAlignment="1">
      <alignment horizontal="center" vertical="center"/>
    </xf>
    <xf numFmtId="166" fontId="0" fillId="0" borderId="27" xfId="3" applyNumberFormat="1" applyFont="1" applyBorder="1" applyAlignment="1">
      <alignment horizontal="center" vertical="center"/>
    </xf>
    <xf numFmtId="164" fontId="0" fillId="0" borderId="18" xfId="1" applyNumberFormat="1" applyFont="1" applyBorder="1" applyAlignment="1">
      <alignment horizontal="center" vertical="center"/>
    </xf>
    <xf numFmtId="166" fontId="0" fillId="0" borderId="18" xfId="3" applyNumberFormat="1" applyFont="1" applyBorder="1" applyAlignment="1">
      <alignment horizontal="center" vertical="center"/>
    </xf>
    <xf numFmtId="164" fontId="11" fillId="0" borderId="18" xfId="1" applyNumberFormat="1" applyFont="1" applyBorder="1" applyAlignment="1">
      <alignment horizontal="center"/>
    </xf>
    <xf numFmtId="164" fontId="11" fillId="0" borderId="30" xfId="1" applyNumberFormat="1" applyFont="1" applyBorder="1" applyAlignment="1">
      <alignment horizontal="center" vertical="center"/>
    </xf>
    <xf numFmtId="166" fontId="11" fillId="0" borderId="31" xfId="3" applyNumberFormat="1" applyFont="1" applyBorder="1" applyAlignment="1">
      <alignment horizontal="center" vertical="center"/>
    </xf>
    <xf numFmtId="165" fontId="11" fillId="0" borderId="30" xfId="2" applyNumberFormat="1" applyFont="1" applyBorder="1" applyAlignment="1">
      <alignment horizontal="center" vertical="center"/>
    </xf>
    <xf numFmtId="166" fontId="0" fillId="0" borderId="56" xfId="3" applyNumberFormat="1" applyFont="1" applyBorder="1" applyAlignment="1">
      <alignment horizontal="center" vertical="center"/>
    </xf>
    <xf numFmtId="164" fontId="0" fillId="0" borderId="30" xfId="1" applyNumberFormat="1" applyFont="1" applyBorder="1" applyAlignment="1">
      <alignment horizontal="center" vertical="center"/>
    </xf>
    <xf numFmtId="166" fontId="0" fillId="0" borderId="30" xfId="3" applyNumberFormat="1" applyFont="1" applyBorder="1" applyAlignment="1">
      <alignment horizontal="center" vertical="center"/>
    </xf>
    <xf numFmtId="164" fontId="11" fillId="0" borderId="22" xfId="1" applyNumberFormat="1" applyFont="1" applyBorder="1" applyAlignment="1">
      <alignment horizontal="center" vertical="center"/>
    </xf>
    <xf numFmtId="166" fontId="11" fillId="0" borderId="64" xfId="3" applyNumberFormat="1" applyFont="1" applyBorder="1" applyAlignment="1">
      <alignment horizontal="center" vertical="center"/>
    </xf>
    <xf numFmtId="165" fontId="11" fillId="0" borderId="22" xfId="2" applyNumberFormat="1" applyFont="1" applyBorder="1" applyAlignment="1">
      <alignment horizontal="center" vertical="center"/>
    </xf>
    <xf numFmtId="166" fontId="0" fillId="0" borderId="4" xfId="3" applyNumberFormat="1" applyFont="1" applyBorder="1" applyAlignment="1">
      <alignment horizontal="center" vertical="center"/>
    </xf>
    <xf numFmtId="164" fontId="0" fillId="0" borderId="22" xfId="1" applyNumberFormat="1" applyFont="1" applyBorder="1" applyAlignment="1">
      <alignment horizontal="center" vertical="center"/>
    </xf>
    <xf numFmtId="166" fontId="0" fillId="0" borderId="22" xfId="3" applyNumberFormat="1" applyFont="1" applyBorder="1" applyAlignment="1">
      <alignment horizontal="center" vertical="center"/>
    </xf>
    <xf numFmtId="166" fontId="0" fillId="0" borderId="64" xfId="3" applyNumberFormat="1" applyFont="1" applyBorder="1" applyAlignment="1">
      <alignment horizontal="center" vertical="center"/>
    </xf>
    <xf numFmtId="165" fontId="0" fillId="0" borderId="22" xfId="2" applyNumberFormat="1" applyFont="1" applyBorder="1" applyAlignment="1">
      <alignment horizontal="center" vertical="center"/>
    </xf>
    <xf numFmtId="166" fontId="0" fillId="0" borderId="38" xfId="3" applyNumberFormat="1" applyFont="1" applyBorder="1" applyAlignment="1">
      <alignment horizontal="center" vertical="center"/>
    </xf>
    <xf numFmtId="164" fontId="0" fillId="0" borderId="24" xfId="1" applyNumberFormat="1" applyFont="1" applyBorder="1" applyAlignment="1">
      <alignment horizontal="center" vertical="center"/>
    </xf>
    <xf numFmtId="166" fontId="0" fillId="0" borderId="66" xfId="3" applyNumberFormat="1" applyFont="1" applyBorder="1" applyAlignment="1">
      <alignment horizontal="center" vertical="center"/>
    </xf>
    <xf numFmtId="165" fontId="0" fillId="0" borderId="24" xfId="2" applyNumberFormat="1" applyFont="1" applyBorder="1" applyAlignment="1">
      <alignment horizontal="center" vertical="center"/>
    </xf>
    <xf numFmtId="166" fontId="0" fillId="0" borderId="35" xfId="3" applyNumberFormat="1" applyFont="1" applyBorder="1" applyAlignment="1">
      <alignment horizontal="center" vertical="center"/>
    </xf>
    <xf numFmtId="165" fontId="0" fillId="0" borderId="18" xfId="2" applyNumberFormat="1" applyFont="1" applyBorder="1" applyAlignment="1">
      <alignment horizontal="center" vertical="center"/>
    </xf>
    <xf numFmtId="164" fontId="0" fillId="0" borderId="13" xfId="1" applyNumberFormat="1" applyFont="1" applyBorder="1" applyAlignment="1">
      <alignment horizontal="center" vertical="center"/>
    </xf>
    <xf numFmtId="166" fontId="0" fillId="0" borderId="37" xfId="3" applyNumberFormat="1" applyFont="1" applyBorder="1" applyAlignment="1">
      <alignment horizontal="center" vertical="center"/>
    </xf>
    <xf numFmtId="165" fontId="0" fillId="0" borderId="13" xfId="2" applyNumberFormat="1" applyFont="1" applyBorder="1" applyAlignment="1">
      <alignment horizontal="center" vertical="center"/>
    </xf>
    <xf numFmtId="166" fontId="0" fillId="0" borderId="34" xfId="3" applyNumberFormat="1" applyFont="1" applyBorder="1" applyAlignment="1">
      <alignment horizontal="center" vertical="center"/>
    </xf>
    <xf numFmtId="166" fontId="0" fillId="0" borderId="8" xfId="3" applyNumberFormat="1" applyFont="1" applyBorder="1" applyAlignment="1">
      <alignment horizontal="center"/>
    </xf>
    <xf numFmtId="166" fontId="0" fillId="0" borderId="19" xfId="3" applyNumberFormat="1" applyFont="1" applyBorder="1" applyAlignment="1">
      <alignment horizontal="center" vertical="center"/>
    </xf>
    <xf numFmtId="166" fontId="0" fillId="0" borderId="18" xfId="3" applyNumberFormat="1" applyFont="1" applyBorder="1" applyAlignment="1">
      <alignment horizontal="center"/>
    </xf>
    <xf numFmtId="164" fontId="0" fillId="0" borderId="18" xfId="1" applyNumberFormat="1" applyFont="1" applyBorder="1" applyAlignment="1">
      <alignment horizontal="center"/>
    </xf>
    <xf numFmtId="165" fontId="3" fillId="8" borderId="0" xfId="2" applyNumberFormat="1" applyFont="1" applyFill="1" applyAlignment="1">
      <alignment horizontal="center" vertical="center"/>
    </xf>
    <xf numFmtId="166" fontId="3" fillId="8" borderId="0" xfId="3" applyNumberFormat="1" applyFont="1" applyFill="1" applyAlignment="1">
      <alignment horizontal="center" vertical="center"/>
    </xf>
    <xf numFmtId="167" fontId="0" fillId="0" borderId="8" xfId="1" applyNumberFormat="1" applyFont="1" applyBorder="1" applyAlignment="1">
      <alignment horizontal="center"/>
    </xf>
    <xf numFmtId="164" fontId="0" fillId="0" borderId="9" xfId="1" applyNumberFormat="1" applyFont="1" applyBorder="1" applyAlignment="1">
      <alignment horizontal="center"/>
    </xf>
    <xf numFmtId="164" fontId="3" fillId="3" borderId="39" xfId="1" applyNumberFormat="1" applyFont="1" applyFill="1" applyBorder="1"/>
    <xf numFmtId="164" fontId="14" fillId="11" borderId="48" xfId="1" applyNumberFormat="1" applyFont="1" applyFill="1" applyBorder="1" applyAlignment="1">
      <alignment horizontal="center"/>
    </xf>
    <xf numFmtId="164" fontId="14" fillId="0" borderId="8" xfId="1" applyNumberFormat="1" applyFont="1" applyBorder="1" applyAlignment="1">
      <alignment horizontal="center"/>
    </xf>
    <xf numFmtId="166" fontId="14" fillId="0" borderId="9" xfId="3" applyNumberFormat="1" applyFont="1" applyBorder="1" applyAlignment="1">
      <alignment horizontal="center"/>
    </xf>
    <xf numFmtId="166" fontId="14" fillId="0" borderId="41" xfId="3" applyNumberFormat="1" applyFont="1" applyBorder="1" applyAlignment="1">
      <alignment horizontal="center"/>
    </xf>
    <xf numFmtId="164" fontId="14" fillId="0" borderId="42" xfId="1" applyNumberFormat="1" applyFont="1" applyBorder="1" applyAlignment="1">
      <alignment horizontal="center"/>
    </xf>
    <xf numFmtId="166" fontId="14" fillId="0" borderId="42" xfId="3" applyNumberFormat="1" applyFont="1" applyBorder="1" applyAlignment="1">
      <alignment horizontal="center"/>
    </xf>
    <xf numFmtId="164" fontId="19" fillId="0" borderId="42" xfId="1" applyNumberFormat="1" applyFont="1" applyBorder="1" applyAlignment="1">
      <alignment horizontal="center"/>
    </xf>
    <xf numFmtId="164" fontId="14" fillId="0" borderId="24" xfId="1" applyNumberFormat="1" applyFont="1" applyBorder="1" applyAlignment="1">
      <alignment horizontal="center"/>
    </xf>
    <xf numFmtId="166" fontId="14" fillId="0" borderId="69" xfId="3" applyNumberFormat="1" applyFont="1" applyBorder="1" applyAlignment="1">
      <alignment horizontal="center"/>
    </xf>
    <xf numFmtId="166" fontId="14" fillId="0" borderId="27" xfId="3" applyNumberFormat="1" applyFont="1" applyBorder="1" applyAlignment="1">
      <alignment horizontal="center"/>
    </xf>
    <xf numFmtId="164" fontId="14" fillId="0" borderId="73" xfId="1" applyNumberFormat="1" applyFont="1" applyBorder="1" applyAlignment="1">
      <alignment horizontal="center"/>
    </xf>
    <xf numFmtId="166" fontId="14" fillId="0" borderId="73" xfId="3" applyNumberFormat="1" applyFont="1" applyBorder="1" applyAlignment="1">
      <alignment horizontal="center"/>
    </xf>
    <xf numFmtId="164" fontId="19" fillId="0" borderId="73" xfId="1" applyNumberFormat="1" applyFont="1" applyBorder="1" applyAlignment="1">
      <alignment horizontal="center"/>
    </xf>
    <xf numFmtId="166" fontId="14" fillId="0" borderId="74" xfId="3" applyNumberFormat="1" applyFont="1" applyBorder="1" applyAlignment="1">
      <alignment horizontal="center"/>
    </xf>
    <xf numFmtId="164" fontId="14" fillId="0" borderId="18" xfId="1" applyNumberFormat="1" applyFont="1" applyBorder="1" applyAlignment="1">
      <alignment horizontal="center"/>
    </xf>
    <xf numFmtId="164" fontId="14" fillId="0" borderId="13" xfId="1" applyNumberFormat="1" applyFont="1" applyBorder="1" applyAlignment="1">
      <alignment horizontal="center"/>
    </xf>
    <xf numFmtId="166" fontId="14" fillId="0" borderId="59" xfId="3" applyNumberFormat="1" applyFont="1" applyBorder="1" applyAlignment="1">
      <alignment horizontal="center"/>
    </xf>
    <xf numFmtId="166" fontId="14" fillId="0" borderId="0" xfId="3" applyNumberFormat="1" applyFont="1" applyAlignment="1">
      <alignment horizontal="center"/>
    </xf>
    <xf numFmtId="164" fontId="14" fillId="0" borderId="75" xfId="1" applyNumberFormat="1" applyFont="1" applyBorder="1" applyAlignment="1">
      <alignment horizontal="center"/>
    </xf>
    <xf numFmtId="166" fontId="14" fillId="0" borderId="75" xfId="3" applyNumberFormat="1" applyFont="1" applyBorder="1" applyAlignment="1">
      <alignment horizontal="center"/>
    </xf>
    <xf numFmtId="164" fontId="19" fillId="0" borderId="75" xfId="1" applyNumberFormat="1" applyFont="1" applyBorder="1" applyAlignment="1">
      <alignment horizontal="center"/>
    </xf>
    <xf numFmtId="164" fontId="19" fillId="0" borderId="32" xfId="1" applyNumberFormat="1" applyFont="1" applyBorder="1" applyAlignment="1">
      <alignment horizontal="center" vertical="center"/>
    </xf>
    <xf numFmtId="166" fontId="14" fillId="0" borderId="22" xfId="3" applyNumberFormat="1" applyFont="1" applyBorder="1" applyAlignment="1">
      <alignment horizontal="center" vertical="center"/>
    </xf>
    <xf numFmtId="164" fontId="14" fillId="0" borderId="22" xfId="1" applyNumberFormat="1" applyFont="1" applyBorder="1" applyAlignment="1">
      <alignment horizontal="center"/>
    </xf>
    <xf numFmtId="166" fontId="14" fillId="0" borderId="24" xfId="3" applyNumberFormat="1" applyFont="1" applyBorder="1" applyAlignment="1">
      <alignment horizontal="center" vertical="center"/>
    </xf>
    <xf numFmtId="166" fontId="14" fillId="0" borderId="18" xfId="3" applyNumberFormat="1" applyFont="1" applyBorder="1" applyAlignment="1">
      <alignment horizontal="center" vertical="center"/>
    </xf>
    <xf numFmtId="166" fontId="14" fillId="0" borderId="13" xfId="3" applyNumberFormat="1" applyFont="1" applyBorder="1" applyAlignment="1">
      <alignment horizontal="center"/>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41" fillId="0" borderId="0" xfId="0" applyFont="1"/>
    <xf numFmtId="166" fontId="14" fillId="0" borderId="0" xfId="3" applyNumberFormat="1" applyFont="1" applyFill="1" applyBorder="1" applyAlignment="1">
      <alignment horizontal="center"/>
    </xf>
    <xf numFmtId="165" fontId="3" fillId="3" borderId="2" xfId="0" applyNumberFormat="1" applyFont="1" applyFill="1" applyBorder="1" applyAlignment="1">
      <alignment horizontal="center"/>
    </xf>
    <xf numFmtId="165" fontId="3" fillId="3" borderId="78" xfId="0" applyNumberFormat="1" applyFont="1" applyFill="1" applyBorder="1" applyAlignment="1">
      <alignment horizontal="center"/>
    </xf>
    <xf numFmtId="166" fontId="3" fillId="3" borderId="64" xfId="3" applyNumberFormat="1" applyFont="1" applyFill="1" applyBorder="1" applyAlignment="1">
      <alignment horizontal="center"/>
    </xf>
    <xf numFmtId="165" fontId="3" fillId="4" borderId="22" xfId="1" applyNumberFormat="1" applyFont="1" applyFill="1" applyBorder="1" applyAlignment="1">
      <alignment horizontal="center"/>
    </xf>
    <xf numFmtId="164" fontId="14" fillId="0" borderId="6" xfId="1" applyNumberFormat="1" applyFont="1" applyFill="1" applyBorder="1" applyAlignment="1">
      <alignment horizontal="center"/>
    </xf>
    <xf numFmtId="165" fontId="14" fillId="0" borderId="74" xfId="0" applyNumberFormat="1" applyFont="1" applyBorder="1" applyAlignment="1">
      <alignment horizontal="center"/>
    </xf>
    <xf numFmtId="165" fontId="14" fillId="0" borderId="75" xfId="0" applyNumberFormat="1" applyFont="1" applyBorder="1" applyAlignment="1">
      <alignment horizontal="center"/>
    </xf>
    <xf numFmtId="164" fontId="14" fillId="0" borderId="23" xfId="1" applyNumberFormat="1" applyFont="1" applyFill="1" applyBorder="1" applyAlignment="1">
      <alignment horizontal="center"/>
    </xf>
    <xf numFmtId="165" fontId="14" fillId="0" borderId="27" xfId="0" applyNumberFormat="1" applyFont="1" applyBorder="1" applyAlignment="1">
      <alignment horizontal="center"/>
    </xf>
    <xf numFmtId="165" fontId="14" fillId="0" borderId="32" xfId="0" applyNumberFormat="1" applyFont="1" applyBorder="1" applyAlignment="1">
      <alignment horizontal="center"/>
    </xf>
    <xf numFmtId="165" fontId="14" fillId="0" borderId="73" xfId="0" applyNumberFormat="1" applyFont="1" applyBorder="1" applyAlignment="1">
      <alignment horizontal="center"/>
    </xf>
    <xf numFmtId="164" fontId="14" fillId="0" borderId="36" xfId="1" applyNumberFormat="1" applyFont="1" applyFill="1" applyBorder="1" applyAlignment="1">
      <alignment horizontal="center"/>
    </xf>
    <xf numFmtId="165" fontId="14" fillId="0" borderId="0" xfId="0" applyNumberFormat="1" applyFont="1" applyAlignment="1">
      <alignment horizontal="center"/>
    </xf>
    <xf numFmtId="164" fontId="0" fillId="0" borderId="6" xfId="1" applyNumberFormat="1" applyFont="1" applyFill="1" applyBorder="1" applyAlignment="1">
      <alignment horizontal="center" vertical="center"/>
    </xf>
    <xf numFmtId="165" fontId="0" fillId="0" borderId="41" xfId="2" applyNumberFormat="1" applyFont="1" applyFill="1" applyBorder="1" applyAlignment="1">
      <alignment horizontal="center" vertical="center"/>
    </xf>
    <xf numFmtId="164" fontId="0" fillId="0" borderId="58" xfId="1" applyNumberFormat="1" applyFont="1" applyFill="1" applyBorder="1" applyAlignment="1">
      <alignment horizontal="center" vertical="center"/>
    </xf>
    <xf numFmtId="167" fontId="0" fillId="0" borderId="8" xfId="1" applyNumberFormat="1" applyFont="1" applyFill="1" applyBorder="1" applyAlignment="1">
      <alignment horizontal="right" vertical="center"/>
    </xf>
    <xf numFmtId="164" fontId="0" fillId="0" borderId="9" xfId="1" applyNumberFormat="1" applyFont="1" applyFill="1" applyBorder="1" applyAlignment="1">
      <alignment horizontal="center" vertical="center"/>
    </xf>
    <xf numFmtId="164" fontId="19" fillId="0" borderId="20" xfId="1" applyNumberFormat="1" applyFont="1" applyFill="1" applyBorder="1" applyAlignment="1">
      <alignment horizontal="center" vertical="center"/>
    </xf>
    <xf numFmtId="165" fontId="11" fillId="0" borderId="27" xfId="2" applyNumberFormat="1" applyFont="1" applyFill="1" applyBorder="1" applyAlignment="1">
      <alignment horizontal="center" vertical="center"/>
    </xf>
    <xf numFmtId="164" fontId="0" fillId="0" borderId="26" xfId="1" applyNumberFormat="1" applyFont="1" applyFill="1" applyBorder="1" applyAlignment="1">
      <alignment horizontal="center" vertical="center"/>
    </xf>
    <xf numFmtId="167" fontId="0" fillId="0" borderId="18" xfId="1" applyNumberFormat="1" applyFont="1" applyFill="1" applyBorder="1" applyAlignment="1">
      <alignment horizontal="right" vertical="center"/>
    </xf>
    <xf numFmtId="164" fontId="0" fillId="0" borderId="28" xfId="1" applyNumberFormat="1" applyFont="1" applyFill="1" applyBorder="1" applyAlignment="1">
      <alignment horizontal="center" vertical="center"/>
    </xf>
    <xf numFmtId="164" fontId="11" fillId="0" borderId="29" xfId="1" applyNumberFormat="1" applyFont="1" applyFill="1" applyBorder="1" applyAlignment="1">
      <alignment horizontal="center" vertical="center"/>
    </xf>
    <xf numFmtId="165" fontId="11" fillId="0" borderId="62" xfId="2" applyNumberFormat="1" applyFont="1" applyFill="1" applyBorder="1" applyAlignment="1">
      <alignment horizontal="center" vertical="center"/>
    </xf>
    <xf numFmtId="164" fontId="0" fillId="0" borderId="62" xfId="1" applyNumberFormat="1" applyFont="1" applyFill="1" applyBorder="1" applyAlignment="1">
      <alignment horizontal="center" vertical="center"/>
    </xf>
    <xf numFmtId="167" fontId="0" fillId="0" borderId="30" xfId="1" applyNumberFormat="1" applyFont="1" applyFill="1" applyBorder="1" applyAlignment="1">
      <alignment horizontal="right" vertical="center"/>
    </xf>
    <xf numFmtId="164" fontId="0" fillId="0" borderId="68" xfId="1" applyNumberFormat="1" applyFont="1" applyFill="1" applyBorder="1" applyAlignment="1">
      <alignment horizontal="center" vertical="center"/>
    </xf>
    <xf numFmtId="164" fontId="11" fillId="0" borderId="21" xfId="1" applyNumberFormat="1" applyFont="1" applyFill="1" applyBorder="1" applyAlignment="1">
      <alignment horizontal="center" vertical="center"/>
    </xf>
    <xf numFmtId="164" fontId="17" fillId="0" borderId="2" xfId="1" applyNumberFormat="1" applyFont="1" applyFill="1" applyBorder="1" applyAlignment="1">
      <alignment horizontal="center" vertical="center"/>
    </xf>
    <xf numFmtId="167" fontId="17" fillId="0" borderId="22" xfId="1" applyNumberFormat="1" applyFont="1" applyFill="1" applyBorder="1" applyAlignment="1">
      <alignment horizontal="center" vertical="center"/>
    </xf>
    <xf numFmtId="164" fontId="0" fillId="0" borderId="3" xfId="1" applyNumberFormat="1" applyFont="1" applyFill="1" applyBorder="1" applyAlignment="1">
      <alignment horizontal="center" vertical="center"/>
    </xf>
    <xf numFmtId="164" fontId="0" fillId="0" borderId="21" xfId="1" applyNumberFormat="1" applyFont="1" applyFill="1" applyBorder="1" applyAlignment="1">
      <alignment horizontal="center" vertical="center"/>
    </xf>
    <xf numFmtId="165" fontId="0" fillId="0" borderId="21" xfId="1" applyNumberFormat="1" applyFont="1" applyFill="1" applyBorder="1" applyAlignment="1">
      <alignment horizontal="center" vertical="center"/>
    </xf>
    <xf numFmtId="164" fontId="14" fillId="0" borderId="22" xfId="1" applyNumberFormat="1" applyFont="1" applyFill="1" applyBorder="1" applyAlignment="1">
      <alignment horizontal="center" vertical="center"/>
    </xf>
    <xf numFmtId="167" fontId="14" fillId="0" borderId="22" xfId="1" applyNumberFormat="1" applyFont="1" applyFill="1" applyBorder="1" applyAlignment="1">
      <alignment horizontal="center"/>
    </xf>
    <xf numFmtId="164" fontId="14" fillId="0" borderId="3" xfId="1" applyNumberFormat="1" applyFont="1" applyFill="1" applyBorder="1" applyAlignment="1">
      <alignment horizontal="center"/>
    </xf>
    <xf numFmtId="164" fontId="17" fillId="0" borderId="23" xfId="1" applyNumberFormat="1" applyFont="1" applyFill="1" applyBorder="1" applyAlignment="1">
      <alignment horizontal="center" vertical="center"/>
    </xf>
    <xf numFmtId="164" fontId="17" fillId="0" borderId="24" xfId="1" applyNumberFormat="1" applyFont="1" applyFill="1" applyBorder="1" applyAlignment="1">
      <alignment horizontal="center" vertical="center"/>
    </xf>
    <xf numFmtId="165" fontId="0" fillId="0" borderId="23" xfId="1" applyNumberFormat="1" applyFont="1" applyFill="1" applyBorder="1" applyAlignment="1">
      <alignment horizontal="center" vertical="center"/>
    </xf>
    <xf numFmtId="167" fontId="17" fillId="0" borderId="24" xfId="1" applyNumberFormat="1" applyFont="1" applyFill="1" applyBorder="1" applyAlignment="1">
      <alignment horizontal="center"/>
    </xf>
    <xf numFmtId="164" fontId="17" fillId="0" borderId="24" xfId="1" applyNumberFormat="1" applyFont="1" applyFill="1" applyBorder="1" applyAlignment="1">
      <alignment horizontal="center"/>
    </xf>
    <xf numFmtId="164" fontId="17" fillId="0" borderId="69" xfId="1" applyNumberFormat="1" applyFont="1" applyFill="1" applyBorder="1" applyAlignment="1">
      <alignment horizontal="center"/>
    </xf>
    <xf numFmtId="165" fontId="0" fillId="0" borderId="20" xfId="1" applyNumberFormat="1" applyFont="1" applyFill="1" applyBorder="1" applyAlignment="1">
      <alignment horizontal="center" vertical="center"/>
    </xf>
    <xf numFmtId="164" fontId="14" fillId="0" borderId="18" xfId="1" applyNumberFormat="1" applyFont="1" applyFill="1" applyBorder="1" applyAlignment="1">
      <alignment horizontal="center" vertical="center"/>
    </xf>
    <xf numFmtId="167" fontId="14" fillId="0" borderId="18" xfId="1" applyNumberFormat="1" applyFont="1" applyFill="1" applyBorder="1" applyAlignment="1">
      <alignment horizontal="center"/>
    </xf>
    <xf numFmtId="164" fontId="14" fillId="0" borderId="28" xfId="1" applyNumberFormat="1" applyFont="1" applyFill="1" applyBorder="1" applyAlignment="1">
      <alignment horizontal="center"/>
    </xf>
    <xf numFmtId="164" fontId="0" fillId="0" borderId="10" xfId="1" applyNumberFormat="1" applyFont="1" applyFill="1" applyBorder="1" applyAlignment="1">
      <alignment horizontal="center" vertical="center"/>
    </xf>
    <xf numFmtId="165" fontId="0" fillId="0" borderId="10" xfId="1" applyNumberFormat="1" applyFont="1" applyFill="1" applyBorder="1" applyAlignment="1">
      <alignment horizontal="center" vertical="center"/>
    </xf>
    <xf numFmtId="167" fontId="14" fillId="0" borderId="13" xfId="1" applyNumberFormat="1" applyFont="1" applyFill="1" applyBorder="1" applyAlignment="1">
      <alignment horizontal="center"/>
    </xf>
    <xf numFmtId="164" fontId="14" fillId="0" borderId="77" xfId="1" applyNumberFormat="1" applyFont="1" applyFill="1" applyBorder="1" applyAlignment="1">
      <alignment horizontal="center"/>
    </xf>
    <xf numFmtId="164" fontId="0" fillId="0" borderId="42" xfId="1" applyNumberFormat="1" applyFont="1" applyFill="1" applyBorder="1" applyAlignment="1">
      <alignment horizontal="center" vertical="center"/>
    </xf>
    <xf numFmtId="165" fontId="0" fillId="0" borderId="42" xfId="0" applyNumberFormat="1" applyBorder="1" applyAlignment="1">
      <alignment horizontal="center" vertical="center"/>
    </xf>
    <xf numFmtId="165" fontId="0" fillId="0" borderId="8" xfId="2" applyNumberFormat="1" applyFont="1" applyFill="1" applyBorder="1" applyAlignment="1">
      <alignment horizontal="center" vertical="center"/>
    </xf>
    <xf numFmtId="164" fontId="0" fillId="0" borderId="32" xfId="1" applyNumberFormat="1" applyFont="1" applyFill="1" applyBorder="1" applyAlignment="1">
      <alignment horizontal="center" vertical="center"/>
    </xf>
    <xf numFmtId="165" fontId="0" fillId="0" borderId="32" xfId="0" applyNumberFormat="1" applyBorder="1" applyAlignment="1">
      <alignment horizontal="center" vertical="center"/>
    </xf>
    <xf numFmtId="167" fontId="0" fillId="0" borderId="18" xfId="1" applyNumberFormat="1" applyFont="1" applyFill="1" applyBorder="1" applyAlignment="1">
      <alignment horizontal="center"/>
    </xf>
    <xf numFmtId="164" fontId="0" fillId="0" borderId="28" xfId="1" applyNumberFormat="1" applyFont="1" applyFill="1" applyBorder="1" applyAlignment="1">
      <alignment horizontal="center"/>
    </xf>
    <xf numFmtId="0" fontId="11" fillId="0" borderId="2" xfId="0" applyFont="1" applyBorder="1" applyAlignment="1">
      <alignment horizontal="left" vertical="center" wrapText="1"/>
    </xf>
    <xf numFmtId="165" fontId="11" fillId="0" borderId="4" xfId="2" applyNumberFormat="1" applyFont="1" applyFill="1" applyBorder="1" applyAlignment="1">
      <alignment horizontal="center" vertical="center"/>
    </xf>
    <xf numFmtId="166" fontId="3" fillId="8" borderId="39" xfId="3" applyNumberFormat="1" applyFont="1" applyFill="1" applyBorder="1" applyAlignment="1">
      <alignment horizontal="center" vertical="center"/>
    </xf>
    <xf numFmtId="173" fontId="3" fillId="8" borderId="39" xfId="1" applyNumberFormat="1" applyFont="1" applyFill="1" applyBorder="1" applyAlignment="1">
      <alignment horizontal="right" vertical="center"/>
    </xf>
    <xf numFmtId="164" fontId="8" fillId="8" borderId="39" xfId="1" applyNumberFormat="1" applyFont="1" applyFill="1" applyBorder="1" applyAlignment="1">
      <alignment horizontal="center" vertical="center"/>
    </xf>
    <xf numFmtId="164" fontId="8" fillId="8" borderId="40" xfId="1" applyNumberFormat="1" applyFont="1" applyFill="1" applyBorder="1" applyAlignment="1">
      <alignment horizontal="center" vertical="center"/>
    </xf>
    <xf numFmtId="166" fontId="14" fillId="0" borderId="18" xfId="3" applyNumberFormat="1" applyFont="1" applyFill="1" applyBorder="1" applyAlignment="1">
      <alignment horizontal="center"/>
    </xf>
    <xf numFmtId="164" fontId="19" fillId="0" borderId="18" xfId="1" applyNumberFormat="1" applyFont="1" applyFill="1" applyBorder="1" applyAlignment="1">
      <alignment horizontal="center"/>
    </xf>
    <xf numFmtId="171" fontId="14" fillId="0" borderId="18" xfId="1" applyNumberFormat="1" applyFont="1" applyFill="1" applyBorder="1" applyAlignment="1">
      <alignment horizontal="right"/>
    </xf>
    <xf numFmtId="171" fontId="14" fillId="0" borderId="18" xfId="1" applyNumberFormat="1" applyFont="1" applyFill="1" applyBorder="1" applyAlignment="1">
      <alignment horizontal="right" wrapText="1"/>
    </xf>
    <xf numFmtId="166" fontId="14" fillId="0" borderId="8" xfId="3" applyNumberFormat="1" applyFont="1" applyFill="1" applyBorder="1" applyAlignment="1">
      <alignment horizontal="center"/>
    </xf>
    <xf numFmtId="164" fontId="19" fillId="0" borderId="8" xfId="1" applyNumberFormat="1" applyFont="1" applyFill="1" applyBorder="1" applyAlignment="1">
      <alignment horizontal="center"/>
    </xf>
    <xf numFmtId="171" fontId="14" fillId="0" borderId="8" xfId="1" applyNumberFormat="1" applyFont="1" applyFill="1" applyBorder="1" applyAlignment="1">
      <alignment horizontal="right"/>
    </xf>
    <xf numFmtId="164" fontId="14" fillId="0" borderId="7" xfId="1" applyNumberFormat="1" applyFont="1" applyFill="1" applyBorder="1" applyAlignment="1">
      <alignment horizontal="center"/>
    </xf>
    <xf numFmtId="164" fontId="14" fillId="0" borderId="20" xfId="1" applyNumberFormat="1" applyFont="1" applyFill="1" applyBorder="1" applyAlignment="1">
      <alignment horizontal="center"/>
    </xf>
    <xf numFmtId="164" fontId="14" fillId="0" borderId="19" xfId="1" applyNumberFormat="1" applyFont="1" applyFill="1" applyBorder="1" applyAlignment="1">
      <alignment horizontal="center"/>
    </xf>
    <xf numFmtId="164" fontId="14" fillId="0" borderId="10" xfId="1" applyNumberFormat="1" applyFont="1" applyFill="1" applyBorder="1" applyAlignment="1">
      <alignment horizontal="center"/>
    </xf>
    <xf numFmtId="164" fontId="19" fillId="0" borderId="13" xfId="1" applyNumberFormat="1" applyFont="1" applyFill="1" applyBorder="1" applyAlignment="1">
      <alignment horizontal="center"/>
    </xf>
    <xf numFmtId="171" fontId="14" fillId="0" borderId="13" xfId="1" applyNumberFormat="1" applyFont="1" applyFill="1" applyBorder="1" applyAlignment="1">
      <alignment horizontal="right"/>
    </xf>
    <xf numFmtId="164" fontId="14" fillId="0" borderId="11" xfId="1" applyNumberFormat="1" applyFont="1" applyFill="1" applyBorder="1" applyAlignment="1">
      <alignment horizontal="center"/>
    </xf>
    <xf numFmtId="0" fontId="44" fillId="0" borderId="0" xfId="0" applyFont="1"/>
    <xf numFmtId="164" fontId="0" fillId="0" borderId="58" xfId="0" applyNumberFormat="1" applyBorder="1" applyAlignment="1">
      <alignment horizontal="center" vertical="center"/>
    </xf>
    <xf numFmtId="164" fontId="0" fillId="0" borderId="65" xfId="0" applyNumberFormat="1" applyBorder="1" applyAlignment="1">
      <alignment horizontal="center" vertical="center"/>
    </xf>
    <xf numFmtId="165" fontId="0" fillId="0" borderId="58" xfId="2" applyNumberFormat="1" applyFont="1" applyFill="1" applyBorder="1" applyAlignment="1">
      <alignment horizontal="center" vertical="center"/>
    </xf>
    <xf numFmtId="165" fontId="0" fillId="0" borderId="60" xfId="2" applyNumberFormat="1" applyFont="1" applyFill="1" applyBorder="1" applyAlignment="1">
      <alignment horizontal="center" vertical="center"/>
    </xf>
    <xf numFmtId="164" fontId="0" fillId="0" borderId="26" xfId="0" applyNumberFormat="1" applyBorder="1" applyAlignment="1">
      <alignment horizontal="center" vertical="center"/>
    </xf>
    <xf numFmtId="164" fontId="0" fillId="0" borderId="35" xfId="0" applyNumberFormat="1" applyBorder="1" applyAlignment="1">
      <alignment horizontal="center" vertical="center"/>
    </xf>
    <xf numFmtId="165" fontId="0" fillId="0" borderId="26" xfId="2" applyNumberFormat="1" applyFont="1" applyFill="1" applyBorder="1" applyAlignment="1">
      <alignment horizontal="center" vertical="center"/>
    </xf>
    <xf numFmtId="165" fontId="0" fillId="0" borderId="19" xfId="2" applyNumberFormat="1" applyFont="1" applyFill="1" applyBorder="1" applyAlignment="1">
      <alignment horizontal="center" vertical="center"/>
    </xf>
    <xf numFmtId="164" fontId="0" fillId="0" borderId="33" xfId="0" applyNumberFormat="1" applyBorder="1" applyAlignment="1">
      <alignment horizontal="center" vertical="center"/>
    </xf>
    <xf numFmtId="164" fontId="0" fillId="0" borderId="93" xfId="0" applyNumberFormat="1" applyBorder="1" applyAlignment="1">
      <alignment horizontal="center" vertical="center"/>
    </xf>
    <xf numFmtId="164" fontId="0" fillId="0" borderId="20" xfId="0" applyNumberFormat="1" applyBorder="1" applyAlignment="1">
      <alignment horizontal="center" vertical="center"/>
    </xf>
    <xf numFmtId="164" fontId="0" fillId="0" borderId="96" xfId="0" applyNumberFormat="1" applyBorder="1" applyAlignment="1">
      <alignment horizontal="center" vertical="center"/>
    </xf>
    <xf numFmtId="164" fontId="0" fillId="0" borderId="67" xfId="0" applyNumberFormat="1" applyBorder="1" applyAlignment="1">
      <alignment horizontal="center" vertical="center"/>
    </xf>
    <xf numFmtId="164" fontId="0" fillId="0" borderId="37" xfId="0" applyNumberFormat="1" applyBorder="1" applyAlignment="1">
      <alignment horizontal="center" vertical="center"/>
    </xf>
    <xf numFmtId="165" fontId="0" fillId="0" borderId="67" xfId="2" applyNumberFormat="1" applyFont="1" applyFill="1" applyBorder="1" applyAlignment="1">
      <alignment horizontal="center" vertical="center"/>
    </xf>
    <xf numFmtId="165" fontId="0" fillId="0" borderId="37" xfId="2" applyNumberFormat="1" applyFont="1" applyFill="1" applyBorder="1" applyAlignment="1">
      <alignment horizontal="center" vertical="center"/>
    </xf>
    <xf numFmtId="164" fontId="0" fillId="0" borderId="10" xfId="0" applyNumberFormat="1" applyBorder="1" applyAlignment="1">
      <alignment horizontal="center" vertical="center"/>
    </xf>
    <xf numFmtId="164" fontId="0" fillId="0" borderId="97" xfId="0" applyNumberFormat="1" applyBorder="1" applyAlignment="1">
      <alignment horizontal="center" vertical="center"/>
    </xf>
    <xf numFmtId="164" fontId="0" fillId="0" borderId="93" xfId="1" applyNumberFormat="1" applyFont="1" applyFill="1" applyBorder="1" applyAlignment="1">
      <alignment horizontal="center" vertical="center"/>
    </xf>
    <xf numFmtId="164" fontId="0" fillId="0" borderId="60" xfId="0" applyNumberFormat="1" applyBorder="1" applyAlignment="1">
      <alignment horizontal="center" vertical="center"/>
    </xf>
    <xf numFmtId="174" fontId="0" fillId="0" borderId="33" xfId="0" applyNumberFormat="1" applyBorder="1" applyAlignment="1">
      <alignment horizontal="center" vertical="center"/>
    </xf>
    <xf numFmtId="174" fontId="0" fillId="0" borderId="60" xfId="0" applyNumberFormat="1" applyBorder="1" applyAlignment="1">
      <alignment horizontal="center" vertical="center"/>
    </xf>
    <xf numFmtId="164" fontId="0" fillId="0" borderId="29" xfId="0" applyNumberFormat="1" applyBorder="1" applyAlignment="1">
      <alignment horizontal="center" vertical="center"/>
    </xf>
    <xf numFmtId="164" fontId="0" fillId="0" borderId="31" xfId="0" applyNumberFormat="1" applyBorder="1" applyAlignment="1">
      <alignment horizontal="center" vertical="center"/>
    </xf>
    <xf numFmtId="175" fontId="0" fillId="0" borderId="29" xfId="0" applyNumberFormat="1" applyBorder="1" applyAlignment="1">
      <alignment horizontal="center" vertical="center"/>
    </xf>
    <xf numFmtId="175" fontId="0" fillId="0" borderId="31" xfId="0" applyNumberFormat="1" applyBorder="1" applyAlignment="1">
      <alignment horizontal="center" vertical="center"/>
    </xf>
    <xf numFmtId="164" fontId="0" fillId="0" borderId="101" xfId="0" applyNumberFormat="1" applyBorder="1" applyAlignment="1">
      <alignment horizontal="center" vertical="center"/>
    </xf>
    <xf numFmtId="0" fontId="0" fillId="0" borderId="64" xfId="0" applyBorder="1" applyAlignment="1">
      <alignment horizontal="center" vertical="center"/>
    </xf>
    <xf numFmtId="42" fontId="17" fillId="0" borderId="2" xfId="2" applyNumberFormat="1" applyFont="1" applyFill="1" applyBorder="1" applyAlignment="1">
      <alignment horizontal="center" vertical="center"/>
    </xf>
    <xf numFmtId="42" fontId="0" fillId="0" borderId="50" xfId="0" applyNumberFormat="1" applyBorder="1" applyAlignment="1">
      <alignment horizontal="center" vertical="center"/>
    </xf>
    <xf numFmtId="164" fontId="0" fillId="0" borderId="7" xfId="1" applyNumberFormat="1" applyFont="1" applyFill="1" applyBorder="1" applyAlignment="1">
      <alignment horizontal="center" vertical="center"/>
    </xf>
    <xf numFmtId="42" fontId="0" fillId="0" borderId="9" xfId="2" applyNumberFormat="1" applyFont="1" applyFill="1" applyBorder="1" applyAlignment="1">
      <alignment horizontal="center" vertical="center"/>
    </xf>
    <xf numFmtId="42" fontId="17" fillId="0" borderId="7" xfId="2" applyNumberFormat="1" applyFont="1" applyFill="1" applyBorder="1" applyAlignment="1">
      <alignment horizontal="center" vertical="center"/>
    </xf>
    <xf numFmtId="42" fontId="0" fillId="0" borderId="32" xfId="2" applyNumberFormat="1" applyFont="1" applyFill="1" applyBorder="1" applyAlignment="1">
      <alignment horizontal="center" vertical="center"/>
    </xf>
    <xf numFmtId="42" fontId="0" fillId="0" borderId="19" xfId="2" applyNumberFormat="1" applyFont="1" applyFill="1" applyBorder="1" applyAlignment="1">
      <alignment horizontal="center" vertical="center"/>
    </xf>
    <xf numFmtId="164" fontId="0" fillId="0" borderId="11" xfId="1" applyNumberFormat="1" applyFont="1" applyFill="1" applyBorder="1" applyAlignment="1">
      <alignment horizontal="center" vertical="center"/>
    </xf>
    <xf numFmtId="42" fontId="0" fillId="0" borderId="79" xfId="2" applyNumberFormat="1" applyFont="1" applyFill="1" applyBorder="1" applyAlignment="1">
      <alignment horizontal="center" vertical="center"/>
    </xf>
    <xf numFmtId="42" fontId="0" fillId="0" borderId="31" xfId="2" applyNumberFormat="1" applyFont="1" applyFill="1" applyBorder="1" applyAlignment="1">
      <alignment horizontal="center" vertical="center"/>
    </xf>
    <xf numFmtId="165" fontId="0" fillId="0" borderId="65" xfId="2" applyNumberFormat="1" applyFont="1" applyFill="1" applyBorder="1" applyAlignment="1">
      <alignment horizontal="center" vertical="center"/>
    </xf>
    <xf numFmtId="165" fontId="0" fillId="0" borderId="35" xfId="2" applyNumberFormat="1" applyFont="1" applyFill="1" applyBorder="1" applyAlignment="1">
      <alignment horizontal="center" vertical="center"/>
    </xf>
    <xf numFmtId="164" fontId="0" fillId="0" borderId="15" xfId="0" applyNumberFormat="1" applyBorder="1" applyAlignment="1">
      <alignment horizontal="center" vertical="center"/>
    </xf>
    <xf numFmtId="164" fontId="0" fillId="0" borderId="110" xfId="0" applyNumberFormat="1" applyBorder="1" applyAlignment="1">
      <alignment horizontal="center" vertical="center"/>
    </xf>
    <xf numFmtId="3" fontId="0" fillId="0" borderId="6" xfId="0" applyNumberFormat="1" applyBorder="1" applyAlignment="1">
      <alignment horizontal="right" vertical="center"/>
    </xf>
    <xf numFmtId="3" fontId="0" fillId="0" borderId="7" xfId="0" applyNumberFormat="1" applyBorder="1" applyAlignment="1">
      <alignment horizontal="right" vertical="center"/>
    </xf>
    <xf numFmtId="3" fontId="0" fillId="0" borderId="20" xfId="0" applyNumberFormat="1" applyBorder="1" applyAlignment="1">
      <alignment horizontal="right" vertical="center"/>
    </xf>
    <xf numFmtId="164" fontId="0" fillId="0" borderId="19" xfId="0" applyNumberFormat="1" applyBorder="1" applyAlignment="1">
      <alignment horizontal="right" vertical="center"/>
    </xf>
    <xf numFmtId="164" fontId="0" fillId="0" borderId="10" xfId="0" applyNumberFormat="1" applyBorder="1" applyAlignment="1">
      <alignment horizontal="right" vertical="center"/>
    </xf>
    <xf numFmtId="3" fontId="0" fillId="0" borderId="11" xfId="0" applyNumberFormat="1" applyBorder="1" applyAlignment="1">
      <alignment horizontal="right" vertical="center"/>
    </xf>
    <xf numFmtId="0" fontId="0" fillId="0" borderId="58" xfId="0" applyBorder="1" applyAlignment="1">
      <alignment horizontal="left" vertical="center" wrapText="1"/>
    </xf>
    <xf numFmtId="0" fontId="0" fillId="0" borderId="55" xfId="0" applyBorder="1" applyAlignment="1">
      <alignment horizontal="left" vertical="center" wrapText="1"/>
    </xf>
    <xf numFmtId="0" fontId="0" fillId="0" borderId="5" xfId="0" applyBorder="1" applyAlignment="1">
      <alignment horizontal="left" vertical="center" wrapText="1"/>
    </xf>
    <xf numFmtId="0" fontId="0" fillId="0" borderId="51" xfId="0" applyBorder="1" applyAlignment="1">
      <alignment horizontal="left" vertical="center" wrapText="1"/>
    </xf>
    <xf numFmtId="0" fontId="6" fillId="7" borderId="83" xfId="0" applyFont="1" applyFill="1" applyBorder="1" applyAlignment="1">
      <alignment horizontal="center" vertical="center" wrapText="1"/>
    </xf>
    <xf numFmtId="0" fontId="0" fillId="0" borderId="91" xfId="0" applyBorder="1" applyAlignment="1">
      <alignment horizontal="left" vertical="center" wrapText="1"/>
    </xf>
    <xf numFmtId="0" fontId="0" fillId="0" borderId="57" xfId="0" applyBorder="1" applyAlignment="1">
      <alignment horizontal="left" vertical="center" wrapText="1"/>
    </xf>
    <xf numFmtId="0" fontId="0" fillId="0" borderId="26" xfId="0" applyBorder="1" applyAlignment="1">
      <alignment horizontal="left" vertical="center" wrapText="1"/>
    </xf>
    <xf numFmtId="0" fontId="6" fillId="7" borderId="58"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8" xfId="0" applyFont="1" applyFill="1" applyBorder="1" applyAlignment="1">
      <alignment horizontal="center" vertical="center" wrapText="1"/>
    </xf>
    <xf numFmtId="165" fontId="0" fillId="27" borderId="27" xfId="2" applyNumberFormat="1" applyFont="1" applyFill="1" applyBorder="1" applyAlignment="1">
      <alignment horizontal="center"/>
    </xf>
    <xf numFmtId="165" fontId="0" fillId="27" borderId="32" xfId="2" applyNumberFormat="1" applyFont="1" applyFill="1" applyBorder="1" applyAlignment="1">
      <alignment horizontal="center"/>
    </xf>
    <xf numFmtId="0" fontId="0" fillId="0" borderId="58" xfId="0" applyBorder="1" applyAlignment="1">
      <alignment horizontal="left" vertical="center" wrapText="1"/>
    </xf>
    <xf numFmtId="0" fontId="0" fillId="0" borderId="55" xfId="0" applyBorder="1" applyAlignment="1">
      <alignment horizontal="left" vertical="center" wrapText="1"/>
    </xf>
    <xf numFmtId="0" fontId="0" fillId="0" borderId="5" xfId="0" applyBorder="1" applyAlignment="1">
      <alignment horizontal="left" vertical="center" wrapText="1"/>
    </xf>
    <xf numFmtId="0" fontId="0" fillId="0" borderId="51" xfId="0" applyBorder="1" applyAlignment="1">
      <alignment horizontal="left" vertical="center" wrapText="1"/>
    </xf>
    <xf numFmtId="0" fontId="0" fillId="0" borderId="14" xfId="0"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0" fontId="6" fillId="2" borderId="4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5" borderId="91" xfId="0" applyFill="1" applyBorder="1" applyAlignment="1">
      <alignment horizontal="left" vertical="center"/>
    </xf>
    <xf numFmtId="0" fontId="0" fillId="5" borderId="94" xfId="0" applyFill="1" applyBorder="1" applyAlignment="1">
      <alignment horizontal="left" vertical="center"/>
    </xf>
    <xf numFmtId="164" fontId="7" fillId="2" borderId="43" xfId="1" applyNumberFormat="1" applyFont="1" applyFill="1" applyBorder="1" applyAlignment="1">
      <alignment horizontal="center" vertical="center" wrapText="1"/>
    </xf>
    <xf numFmtId="164" fontId="7" fillId="7" borderId="53" xfId="1" applyNumberFormat="1" applyFont="1" applyFill="1" applyBorder="1" applyAlignment="1">
      <alignment horizontal="center" vertical="center" wrapText="1"/>
    </xf>
    <xf numFmtId="164" fontId="7" fillId="7" borderId="59"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0" xfId="0" applyFont="1" applyFill="1" applyBorder="1" applyAlignment="1">
      <alignment horizontal="center" vertical="center" wrapText="1"/>
    </xf>
    <xf numFmtId="0" fontId="6" fillId="2" borderId="84" xfId="0" applyFont="1" applyFill="1" applyBorder="1" applyAlignment="1">
      <alignment horizontal="center" vertical="center" wrapText="1"/>
    </xf>
    <xf numFmtId="0" fontId="6" fillId="7" borderId="85" xfId="0" applyFont="1" applyFill="1" applyBorder="1" applyAlignment="1">
      <alignment horizontal="center" vertical="center" wrapText="1"/>
    </xf>
    <xf numFmtId="0" fontId="6" fillId="7" borderId="83" xfId="0" applyFont="1" applyFill="1" applyBorder="1" applyAlignment="1">
      <alignment horizontal="center" vertical="center" wrapText="1"/>
    </xf>
    <xf numFmtId="0" fontId="6" fillId="2" borderId="85" xfId="0" applyFont="1" applyFill="1" applyBorder="1" applyAlignment="1">
      <alignment horizontal="center" vertical="center"/>
    </xf>
    <xf numFmtId="0" fontId="6" fillId="2" borderId="86" xfId="0" applyFont="1" applyFill="1" applyBorder="1" applyAlignment="1">
      <alignment horizontal="center" vertical="center"/>
    </xf>
    <xf numFmtId="0" fontId="0" fillId="0" borderId="91" xfId="0" applyBorder="1" applyAlignment="1">
      <alignment horizontal="left" vertical="center" wrapText="1"/>
    </xf>
    <xf numFmtId="0" fontId="0" fillId="0" borderId="94" xfId="0" applyBorder="1" applyAlignment="1">
      <alignment horizontal="left" vertical="center" wrapText="1"/>
    </xf>
    <xf numFmtId="0" fontId="7" fillId="2" borderId="3" xfId="0" applyFont="1" applyFill="1" applyBorder="1" applyAlignment="1">
      <alignment horizontal="center" vertical="center" wrapText="1"/>
    </xf>
    <xf numFmtId="0" fontId="0" fillId="0" borderId="57" xfId="0" applyBorder="1" applyAlignment="1">
      <alignment horizontal="left" vertical="center" wrapText="1"/>
    </xf>
    <xf numFmtId="0" fontId="0" fillId="0" borderId="26" xfId="0" applyBorder="1" applyAlignment="1">
      <alignment horizontal="left" vertical="center" wrapText="1"/>
    </xf>
    <xf numFmtId="0" fontId="0" fillId="0" borderId="62" xfId="0" applyBorder="1" applyAlignment="1">
      <alignment horizontal="left" vertical="center" wrapText="1"/>
    </xf>
    <xf numFmtId="0" fontId="0" fillId="5" borderId="46" xfId="0" applyFill="1" applyBorder="1" applyAlignment="1">
      <alignment horizontal="left" vertical="center"/>
    </xf>
    <xf numFmtId="0" fontId="0" fillId="5" borderId="47" xfId="0" applyFill="1" applyBorder="1" applyAlignment="1">
      <alignment horizontal="left" vertical="center"/>
    </xf>
    <xf numFmtId="0" fontId="6" fillId="2" borderId="58"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58" xfId="0" applyFont="1" applyFill="1" applyBorder="1" applyAlignment="1">
      <alignment horizontal="center" vertical="center"/>
    </xf>
    <xf numFmtId="0" fontId="6" fillId="2" borderId="1" xfId="0" applyFont="1" applyFill="1" applyBorder="1" applyAlignment="1">
      <alignment horizontal="center" vertical="center"/>
    </xf>
    <xf numFmtId="164" fontId="7" fillId="2" borderId="53" xfId="1" applyNumberFormat="1" applyFont="1" applyFill="1" applyBorder="1" applyAlignment="1">
      <alignment horizontal="center" vertical="center" wrapText="1"/>
    </xf>
    <xf numFmtId="164" fontId="7" fillId="2" borderId="59" xfId="1" applyNumberFormat="1" applyFont="1" applyFill="1" applyBorder="1" applyAlignment="1">
      <alignment horizontal="center" vertical="center" wrapText="1"/>
    </xf>
    <xf numFmtId="0" fontId="25" fillId="0" borderId="0" xfId="8" applyFont="1" applyAlignment="1">
      <alignment horizontal="left" vertical="center" wrapText="1"/>
    </xf>
    <xf numFmtId="0" fontId="33" fillId="0" borderId="0" xfId="8" applyFont="1" applyAlignment="1">
      <alignment horizontal="left" vertical="top" wrapText="1"/>
    </xf>
    <xf numFmtId="0" fontId="22" fillId="0" borderId="0" xfId="8" applyAlignment="1">
      <alignment horizontal="left" wrapText="1"/>
    </xf>
    <xf numFmtId="0" fontId="28" fillId="0" borderId="18" xfId="8" applyFont="1" applyBorder="1" applyAlignment="1">
      <alignment horizontal="center" vertical="center"/>
    </xf>
  </cellXfs>
  <cellStyles count="9">
    <cellStyle name="Comma" xfId="1" builtinId="3"/>
    <cellStyle name="Currency" xfId="2" builtinId="4"/>
    <cellStyle name="Good" xfId="5" builtinId="26"/>
    <cellStyle name="Normal" xfId="0" builtinId="0"/>
    <cellStyle name="Normal 10 2" xfId="4"/>
    <cellStyle name="Normal 2" xfId="8"/>
    <cellStyle name="Normal_Lookup Sheet" xfId="6"/>
    <cellStyle name="Normal_Revised Exhibit 1_021810_Eberts" xfId="7"/>
    <cellStyle name="Percent" xfId="3" builtinId="5"/>
  </cellStyles>
  <dxfs count="0"/>
  <tableStyles count="0" defaultTableStyle="TableStyleMedium2" defaultPivotStyle="PivotStyleLight16"/>
  <colors>
    <mruColors>
      <color rgb="FFD4AB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styles" Target="styles.xml"/><Relationship Id="rId74"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externalLink" Target="externalLinks/externalLink51.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sharedStrings" Target="sharedStrings.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Metrics'!$H$7:$I$7</c:f>
              <c:numCache>
                <c:formatCode>_(* #,##0_);_(* \(#,##0\);_(* "-"??_);_(@_)</c:formatCode>
                <c:ptCount val="2"/>
                <c:pt idx="0">
                  <c:v>25288</c:v>
                </c:pt>
                <c:pt idx="1">
                  <c:v>25308</c:v>
                </c:pt>
              </c:numCache>
            </c:numRef>
          </c:val>
          <c:extLst>
            <c:ext xmlns:c16="http://schemas.microsoft.com/office/drawing/2014/chart" uri="{C3380CC4-5D6E-409C-BE32-E72D297353CC}">
              <c16:uniqueId val="{00000000-332D-4433-B141-5880F37E1C68}"/>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Primary Metrics - 2020/21  TRM</c:v>
                </c:pt>
                <c:pt idx="1">
                  <c:v>Secondary Metrics - 2022 TRM</c:v>
                </c:pt>
              </c:strCache>
            </c:strRef>
          </c:cat>
          <c:val>
            <c:numRef>
              <c:f>'AP F - Secondary Metrics'!$H$8:$I$8</c:f>
              <c:numCache>
                <c:formatCode>_(* #,##0_);_(* \(#,##0\);_(* "-"??_);_(@_)</c:formatCode>
                <c:ptCount val="2"/>
              </c:numCache>
            </c:numRef>
          </c:val>
          <c:extLst>
            <c:ext xmlns:c16="http://schemas.microsoft.com/office/drawing/2014/chart" uri="{C3380CC4-5D6E-409C-BE32-E72D297353CC}">
              <c16:uniqueId val="{00000000-03DC-43F0-BD8D-B6F5A722D658}"/>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17</xdr:row>
      <xdr:rowOff>185369</xdr:rowOff>
    </xdr:from>
    <xdr:to>
      <xdr:col>13</xdr:col>
      <xdr:colOff>0</xdr:colOff>
      <xdr:row>31</xdr:row>
      <xdr:rowOff>180974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eloncorp.sharepoint.com/04230/2000welf/othsys/boutinp/PCCsProvisions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eloncorp.sharepoint.com/Ard1/DATA/share/DEPT_ALL/MAIER/Monthly%20ACT%20BUD%20Reports/FLEET%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eloncorp.sharepoint.com/corpdata/PDelivery/NCRO/Regiondata3/0854_regaffairs/Revenue%20Requirements/Maryland/Maryland%202006%20Base%20Rate%20Filing/Delmarva%20Maryland%206+6%20end%20Sept%2006%20Distrib%20C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xeloncorp.sharepoint.com/Lc3msfs01/lc3nwclstr1_vol16/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ocuments%20and%20Settings\morrjq\My%20Documents\Project\FFA%202005-08%20Exelon%20IT%20Programs_Initiatives-Jo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TEMP\6-09-02SAMPLE%20EXTRAPOLATION.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exeloncorp.sharepoint.com/sites/PHIDSMTeam/Shared%20Documents/ACE%20EE%20Program%20Portfolio/Regulatory%20Compliance%20Filings/Quarterly%20Progress%20Report/PY1%20-%20July%202021%20through%20June%202022/Q4%20-%20April%20through%20June/Final%20Filed%20Versions/Masterdata?5B36EC84" TargetMode="External"/><Relationship Id="rId1" Type="http://schemas.openxmlformats.org/officeDocument/2006/relationships/externalLinkPath" Target="file:///\\5B36EC84\Masterdat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xeloncorp.sharepoint.com/2005%20Budgets/2005%20Khalix%20Budget%20Reports/2005%20CapEx%20(By%20VP%20By%20Dept)%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mcmajx\Local%20Settings\Temporary%20Internet%20Files\OLK42C\PECO%20RNF%20Tracking%20Report_February%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Budget-Accounting\0901%20Close\VPS_0901_Close\Sep_01_FinReview_Present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xeloncorp.sharepoint.com/2005%20Reporting%20Requirements/Apr/MFR%20_%20Leadership%20Deck/MFR%20Views%20-%20EED%20O&amp;M%20(BSC-TFP-Passthru)%20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xeloncorp.sharepoint.com/Documents%20and%20Settings/kosoffr/My%20Documents/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EED\BusinessOps\EED%20Business%20Ops%20(Working)\MFR\May%202005%20Financial%20Reporting\EED%20May%202005%20Support%20Dec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xeloncorp.sharepoint.com/PDelivery/NCRO/Regiondata1/0888_revaccount/Revenue%20Accounting/2020/01%20January/ACE/SSL/eSSL%20v7.3.0%200120%20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xeloncorp.sharepoint.com/Documents%20and%20Settings/MOORBP/Local%20Settings/Temporary%20Internet%20Files/OLKC4D/Consolidatd%202007%20-2011%20LRP%20Impact%20Analysis%20_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xeloncorp.sharepoint.com/cp-wpp-fp13/ud3/JJanocha/2004%20TUB%20Budget/2004%20Financial%20Reporting/September/2004%20TUB%20Forecast%209&amp;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xeloncorp.sharepoint.com/Shared/NEW%20JERSEY%20DEFERRAL%20RECOVERY%20CASE%202002/DEFERRAL%20CASE/Work%20Papers/Janocha%20Work%20Papers/2002-2006%20TUB%20Forecast%20Deferral%20Case%20v0501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xeloncorp.sharepoint.com/FNBNW301/VOL5/74639/98Comp/Adam/Top%20Exec%20Pricing%20-%20Gen%20In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xeloncorp.sharepoint.com/cp-wpp-fp13/ud3/JJanocha/August%202003%20Rate%20Change/BPU%20Deferral%20Order/2003-2007%20TUB%20Forecast%20Deferral%20Case%20v0801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xeloncorp.sharepoint.com/JJanocha/2004%20May%20Board%20Retreat/2004-2008%20TUB%20Forecast%20MBR%20v04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WINDOWS\Temporary%20Internet%20Files\OLK3180\PECO%2012-31-01%20FRP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Staff\jdm\misc\2002%202Q\Rptng%20Pkg\June%202002\Exelon%20Consolidated%20EFRP%20June%202002%20Current%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PED\Business%20Unit\Planning%20&amp;%20Analysis\Monthly%20Data\2001\Q3%20MFR%20and%20QMM\July%20'Output'%20Files%20and%20Other%20Info\Output%20PECO-08-17-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exeloncorp.sharepoint.com/Ard1/DATA/share/DEPT_ALL/MAIER/Monthly%20ACT%20BUD%20Reports/VPS%20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xeloncorp.sharepoint.com/74639/06RET/(751)%20BU%20Allocations/Inactive%20BU%20Allocation%20Codes/Assignment%20of%20Inactive%20BU%20Codes/Active%20and%20Inactive%20Percentages%20-%20Pen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exeloncorp.sharepoint.com/Pepcoholdings.biz/corpdata/Users/dclemente/Documents/My_Files/Projects/03.Exelon_ESI_Finance/Role_Assignments/BPC_Users_to_Roles_v01-JW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WINDOWS\TEMP\REPORT1.xlr"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exeloncorp.sharepoint.com/Shared/NewJerseyDeferrals/1999%20Deferrals/oct99/OctoberTariff(Ol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xeloncorp.sharepoint.com/Chmclstr2_vol3_server/VOL3/DATA/CORP/CA_CCC/Spreadsheet%20Inventory/Spreadsheet%20Inventory%20Template%20-%20May%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xeloncorp.sharepoint.com/Distribution%20Rate%20Cases/2014%20Formula%20Rate/Data%20Requests/Final/Staff/TEE%207.01/ComEd%202012%20Depr%20Schedules,%2012%202%2020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Q:\FINANCE\DEPT-TAX\General%20Ledger%20Department\KAH\Credit%20Facilit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Q:\OSTBenchmarkP7FY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xeloncorp.sharepoint.com/74639/07/RET/(850,851,855)%20Combined%20Results/Disclosures/Year%20End%20Disclosure/Templates/Exelon%20FAS%20158%2012.31.2007%20-%20Pension%20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xeloncorp.sharepoint.com/CCCCLSTR2_VOL7_SERVER/VOL7/CA_CCC/Stock%20Options%20-%20FAS%20123R/Budget/2008%20Forecast/FAS%20123R%20Option%20Model%202008%20w_2009%20Forecast.0914v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xeloncorp.sharepoint.com/CCCCLSTR2_VOL7_SERVER/VOL7/win32/TEMP/insid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xeloncorp.sharepoint.com/cp-wpp-fp13/ud3/JJanocha/JJanocha/NJ%20Restructuring/2000%20Rates/Rate%20Design/2000%20Rat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DOCUME~1\jollu\LOCALS~1\Temp\2005%20Exelon%20IT%20Programs_EDS040603%20Customer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Documents%20and%20Settings\u999tfe\Desktop\3year\tomFFA%202005-08%20Exelon%20IT%20Programs_Initiativ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exeloncorp.sharepoint.com/G035/REPORTNG/REPORTS/TOTALKWH.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xeloncorp.sharepoint.com/DOCUME~1/ALEMRX/LOCALS~1/TEMP/wz08b9/PECO%20PJM%20Bill%20Analysis%2010%20October%202013%20Actu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xeloncorp.sharepoint.com/Documents%20and%20Settings/alemrx/Local%20Settings/Temporary%20Internet%20Files/Content.Outlook/NEVXPJG3/PJM%20Bill%20Analysis%20March%202014%20Actu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exeloncorp.sharepoint.com/Users/bednmx/AppData/Local/Microsoft/Windows/Temporary%20Internet%20Files/Content.Outlook/PF2G4DO7/Pgs%20328-330%20PJM%20Bill%20Analysis%20June%202016%20Estimat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xeloncorp.sharepoint.com/DOCUME~1/ALEMRX/LOCALS~1/TEMP/wzc5d8/PECO%20PJM%20Bill%20Analysis%2012%20December%202013%20Actu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exeloncorp.sharepoint.com/Corporate/2134_10q/Pepco%20Control%20Sheets/Control%20Sheets/control%20sheet%2001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exeloncorp.sharepoint.com/cp-wpp-fp13/ud3/Documents%20and%20Settings/jjanocha/August%202003%20Rate%20Change/Distribution%20Rates/Discovery/NJBPU-S-RD-1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exeloncorp.sharepoint.com/FNBNW301/VOL5/STAFF/jdm/misc/2001%202Q/MERGER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exeloncorp.sharepoint.com/Corp1/DATA1/Share/nVision/Pedistr/Balance%20Sheet/2001-8/10200-Balance%20Sheet-Aug-20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xeloncorp.sharepoint.com/CHMCLSTR2_VOL3_SERVER/VOL3/COMP_PLN/Annual%20Incentive/2002%20AIP/AIP%20and%20Merit%20Planning%20for%20band%207%20and%20above%20Enterpris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xeloncorp.sharepoint.com/FNBNW301/VOL5/STAFF/jdm/KMH/Merge/FERC%20Filing/FERC%20stmts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xeloncorp.sharepoint.com/Lc3msfs01/lc3nwclstr1_vol16/TEMP/6-09-02SAMPLE%20EXTRAPOL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exeloncorp.sharepoint.com/cp-wpp-fp13/ud3/JJanocha/2004%20May%20Board%20Retreat/2004-2008%20TUB%20Forecast%20MBR%20v0420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xeloncorp.sharepoint.com/74639/07/RET/(751)%20BU%20Allocations/5.%202007%20BU%20Allocation%20Percentages/Allocation%20of%20Forecasted%20Pension%20Costs%202007-2016%20-%20With%20Asset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Q:\EED\BusinessOps\EED%20Business%20Ops%20(Working)\MFR\Apr%202005%20Financial%20Reporting\EED%20Apr%202005%20Support%20Deck.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Z:\PDelivery\NCRO\Regiondata3\0854_regaffairs\Regulatory%20Strategy%20&amp;%20Policy\Quarterly%20Reports\MD\Pepco\2023\Q1%20Behavior\ACE%20Q3%20PY2%2004_27-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RetireeCensus"/>
      <sheetName val="2000PCCs"/>
      <sheetName val="2000PlanProvisions"/>
      <sheetName val="JobDefinition"/>
      <sheetName val="Input"/>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 CAP"/>
      <sheetName val="Smartview"/>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AVG"/>
      <sheetName val="Allocation Factors"/>
      <sheetName val="Rate Base COS"/>
      <sheetName val="Earnings COS "/>
      <sheetName val="Tax Calc - unbundled"/>
      <sheetName val="TAX CALC"/>
      <sheetName val="Tax Data - colored for COS"/>
      <sheetName val="Plt in service"/>
      <sheetName val="Deprec reserve"/>
      <sheetName val="CWIP"/>
      <sheetName val="PHFFU"/>
      <sheetName val="M&amp;S"/>
      <sheetName val="Prepaid Pension"/>
      <sheetName val="Prepaid Insurance"/>
      <sheetName val="ITC Balances"/>
      <sheetName val="Cust Advan+Deposits"/>
      <sheetName val="Earnings"/>
      <sheetName val="Sales &amp; Revenue"/>
      <sheetName val="Other Revenue"/>
      <sheetName val="O&amp;M"/>
      <sheetName val="Depreciation"/>
      <sheetName val="Other Taxes"/>
      <sheetName val="ITC"/>
      <sheetName val="IOCD"/>
      <sheetName val="AFUD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Other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E"/>
      <sheetName val="ATTACHMENT D"/>
      <sheetName val="ATTACHMENT C"/>
      <sheetName val="ATTACHMENT B"/>
      <sheetName val="ATTACHMENT A"/>
      <sheetName val="SUM BY GROUP BY SITE BY YEAR"/>
      <sheetName val="CRC SCENARIO 1"/>
      <sheetName val="CRC SCENARIO 1 (BY SITE)"/>
      <sheetName val="CRC SCENARIO 2"/>
      <sheetName val="CRC SCENARIO 2 (BY SITE)"/>
      <sheetName val="IDR 15"/>
      <sheetName val="SAMPLE WORKSHEET"/>
      <sheetName val="REVISED 1998 SUM BY GROUP"/>
      <sheetName val="LEGACY SUM BY GROUP BY LOCATION"/>
      <sheetName val="CBMS SUM BY GROUP BY LOCATION"/>
      <sheetName val="Sample"/>
      <sheetName val="REVI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CapEx (By VP By Dept) Budg"/>
      <sheetName val="2005 ComEd CapEx (By Dept) Budg"/>
      <sheetName val="Calculations"/>
      <sheetName val="Calculations Prior year"/>
      <sheetName val="DCF - Alcar LE"/>
      <sheetName val="DCF - Alcar Budget"/>
      <sheetName val="nVision"/>
      <sheetName val="Masterdata"/>
      <sheetName val="Rev_Req"/>
      <sheetName val="TFI use"/>
      <sheetName val="#REF"/>
      <sheetName val="2nd qtr 2000"/>
      <sheetName val="SETUP"/>
      <sheetName val="Database"/>
      <sheetName val="Ry"/>
      <sheetName val="2005 Amortization "/>
      <sheetName val="PECO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mplate"/>
      <sheetName val="Administrator"/>
      <sheetName val="RNF Mini"/>
      <sheetName val="Data"/>
      <sheetName val="6 (3)"/>
      <sheetName val="6 (4)"/>
      <sheetName val="6 (5)"/>
      <sheetName val="Bridge Plan to Actual"/>
      <sheetName val="2005F vs. 2004A"/>
      <sheetName val="EFC 2004 Actual"/>
      <sheetName val="Accuracy Tracker"/>
      <sheetName val="Elec_Accuracy Tracker"/>
      <sheetName val="Gas_Accuracy Tracker"/>
      <sheetName val="ElecCustomers"/>
      <sheetName val="ElecSales"/>
      <sheetName val="ElecRevenue"/>
      <sheetName val="ElecRates"/>
      <sheetName val="ElecPPA Volume"/>
      <sheetName val="ElecPPA Expense"/>
      <sheetName val="ElecTrans Other"/>
      <sheetName val="GasRevenue"/>
      <sheetName val="GasSales"/>
      <sheetName val="GasRates"/>
      <sheetName val="GasCustomers"/>
      <sheetName val="Gas &quot;Current LE&quot;"/>
      <sheetName val="Gas Net Actuals 05"/>
      <sheetName val="Weather Impact on Ele 04"/>
      <sheetName val="Weather Impact on Gas 04"/>
      <sheetName val="Weather Impact on Ele 05"/>
      <sheetName val="Weather Impact on Gas 05"/>
      <sheetName val="Electric &quot;Current LE&quot;"/>
      <sheetName val="2005 Budget RNF"/>
      <sheetName val="2005 Net Actuals"/>
      <sheetName val="Gas Net Budget 05"/>
      <sheetName val="Gas Net Actuals 04"/>
      <sheetName val="Electric Output - Input"/>
      <sheetName val="Electric Customer Trend"/>
      <sheetName val="2005 Budget PPA"/>
      <sheetName val="T+5"/>
      <sheetName val="Actual PPA Blocks"/>
      <sheetName val="WA PPA Blocks"/>
      <sheetName val="Actual Zone Blocks"/>
      <sheetName val="WA Zone Blocks"/>
      <sheetName val="Data_LE"/>
      <sheetName val="Gas 2004"/>
      <sheetName val="2004 Net Actuals"/>
      <sheetName val="Power Purch Actual"/>
      <sheetName val="EFC Actuals Calc"/>
      <sheetName val="1-11 LE"/>
      <sheetName val="WC Retail Sendout"/>
      <sheetName val="2005 Act"/>
      <sheetName val="Gas Net Budget 04"/>
      <sheetName val="PJM Bill"/>
      <sheetName val="HDD-CDH"/>
      <sheetName val="Gas Sendout"/>
      <sheetName val="2005 gas thru-put Budget"/>
      <sheetName val="Gas Customer"/>
      <sheetName val="Electric Customers - Input"/>
      <sheetName val="Gas cust budget &amp; '04"/>
      <sheetName val="EFC 2005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CO Bal Sht"/>
      <sheetName val="Assumptions"/>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EED O&amp;M BO data"/>
      <sheetName val="category BO data"/>
      <sheetName val="lookup values"/>
      <sheetName val="BSC TFP Passthru----&gt;"/>
      <sheetName val="TOTAL"/>
      <sheetName val="TOTAL V2"/>
      <sheetName val="TOTAL V3"/>
      <sheetName val="Embedded EED"/>
      <sheetName val="Embedded ComEd"/>
      <sheetName val="Embedded PECO"/>
      <sheetName val="Embedded Commun EED"/>
      <sheetName val="Embedded Commun ComEd"/>
      <sheetName val="Embedded Commun PECO"/>
      <sheetName val="Embedded Finance ComEd"/>
      <sheetName val="Embedded Finance PECO"/>
      <sheetName val="Embedded Finance EED-Sum"/>
      <sheetName val="Embedded Finance ComEd-Sum"/>
      <sheetName val="Embedded Finance PECO-Sum"/>
      <sheetName val="Embedded Finance EED"/>
      <sheetName val="Finance"/>
      <sheetName val="Tax"/>
      <sheetName val="Controller"/>
      <sheetName val="Bank Fees"/>
      <sheetName val="Embedded HR EED"/>
      <sheetName val="Embedded HR ComEd"/>
      <sheetName val="Embedded HR PECO"/>
      <sheetName val="Embedded IT EED"/>
      <sheetName val="Embedded IT ComEd"/>
      <sheetName val="Embedded IT PECO"/>
      <sheetName val="Embedded Legal EED"/>
      <sheetName val="Embedded Legal Summary"/>
      <sheetName val="Embedded Legal ComEd"/>
      <sheetName val="Embedded Legal PECO"/>
      <sheetName val="Embedded Supply EED"/>
      <sheetName val="Embedded Supply ComEd"/>
      <sheetName val="Embedded Supply PECO"/>
      <sheetName val="Corp Allocated EED"/>
      <sheetName val="Corp Allocated ComEd"/>
      <sheetName val="Corp Allocated PECO"/>
      <sheetName val="Transactional EED"/>
      <sheetName val="Transactional ComEd"/>
      <sheetName val="Transactional PECO"/>
      <sheetName val="Transactional---EDSS"/>
      <sheetName val="PECO Bal 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 val="#REF"/>
      <sheetName val="all EED O&amp;M BO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PECO TOTI"/>
      <sheetName val="ComEd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ENTERPRI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_H"/>
      <sheetName val="ICBTemplate"/>
      <sheetName val="ACESRECADJ"/>
      <sheetName val="RNFZECOVER"/>
      <sheetName val="RNFZECINT"/>
      <sheetName val="RNFSRECINT"/>
      <sheetName val="RNFSRECAC"/>
      <sheetName val="RNFACE494"/>
      <sheetName val="RNFTBCMTT"/>
      <sheetName val="RNFACEDEF"/>
      <sheetName val="RNFLLCINT"/>
      <sheetName val="NRFAINT"/>
      <sheetName val="RNFUNBILL"/>
      <sheetName val="NRFSREC1AM"/>
      <sheetName val="RNFACELOSS"/>
      <sheetName val="RNFAMORTSC"/>
      <sheetName val="RNFSREC1FR"/>
      <sheetName val="Control"/>
      <sheetName val="Template"/>
      <sheetName val="Notes"/>
      <sheetName val="eSSLBufferPtrSheet"/>
      <sheetName val="eSSL v7.3.0 0120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by BU_Acct &amp; Reas Code"/>
      <sheetName val="Summary by BU &amp; Reason Code"/>
      <sheetName val="Summary Account Category by BU"/>
      <sheetName val="Summary by Reason Code "/>
      <sheetName val="Summary Account Category"/>
      <sheetName val="Summary Report by Yr &amp; Category"/>
      <sheetName val="Sum. Rpt by Yr,Cat&amp;Reason Code"/>
      <sheetName val="Summary _New Technology"/>
      <sheetName val="Allocation of Corporate"/>
      <sheetName val="Summay New Tech by BU"/>
      <sheetName val="New Tech by IT Cat &amp; BU"/>
      <sheetName val="Valid Table Values"/>
      <sheetName val="New Technology by IT Category"/>
      <sheetName val="New Technology_2007"/>
      <sheetName val="New Technology_2008"/>
      <sheetName val="New Technology_2009"/>
      <sheetName val="New Technology_2010"/>
      <sheetName val="New Technology_2011"/>
      <sheetName val="Allocation to Projects"/>
      <sheetName val="Existing Technology_Price"/>
      <sheetName val="Existing Technology_Volume"/>
      <sheetName val="Internal Transfers"/>
      <sheetName val="External Transfers"/>
      <sheetName val="Input Section"/>
      <sheetName val="Reason Code Example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UBR Forecast"/>
      <sheetName val="Income Statement 9&amp;3"/>
      <sheetName val="Bonds Summary"/>
      <sheetName val="ACE LLC Detail Income Statement"/>
      <sheetName val="JFJ-1 Deferral Recovery Rate"/>
      <sheetName val="JFJ-2 NNC Rates"/>
      <sheetName val="JFJ-3 MTC Rate"/>
      <sheetName val="JFJ-4 CEP Rate"/>
      <sheetName val="JFJ-5 USF Rate"/>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 2007 BGS FP Costs"/>
      <sheetName val="Keystone Swap Amort Sched"/>
      <sheetName val="Restructuring Amort."/>
      <sheetName val="ACE 25 Year Sales Forecast"/>
      <sheetName val="BL England Rev Req"/>
      <sheetName val="Keystone Rev Req"/>
      <sheetName val="Conemaugh Rev Req"/>
      <sheetName val="Generation Summary"/>
      <sheetName val="taxes"/>
      <sheetName val="OTRA Discounts"/>
      <sheetName val="Deferral Securitization"/>
      <sheetName val="Debt Design"/>
      <sheetName val="TBC Development"/>
      <sheetName val="MTC -Tax Development"/>
      <sheetName val="Budget Summary"/>
      <sheetName val="ACE TUB - Monthly Summary"/>
      <sheetName val="TUB OTHER"/>
      <sheetName val="TUB ACE xd"/>
      <sheetName val="ACE FUND"/>
      <sheetName val="Amort Summary"/>
    </sheetNames>
    <sheetDataSet>
      <sheetData sheetId="0" refreshError="1"/>
      <sheetData sheetId="1"/>
      <sheetData sheetId="2"/>
      <sheetData sheetId="3"/>
      <sheetData sheetId="4"/>
      <sheetData sheetId="5"/>
      <sheetData sheetId="6"/>
      <sheetData sheetId="7" refreshError="1"/>
      <sheetData sheetId="8"/>
      <sheetData sheetId="9"/>
      <sheetData sheetId="10" refreshError="1"/>
      <sheetData sheetId="1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2 NNC Rates"/>
      <sheetName val="JFJ-3 MTC Rate"/>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Load Weighted LMP"/>
      <sheetName val="Shopping Credit Table"/>
      <sheetName val="BGS Rates"/>
      <sheetName val="BGS NUG Rates"/>
      <sheetName val="2000 Generation Results"/>
      <sheetName val="Generation Results 6101"/>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Pepco_Billed"/>
      <sheetName val="Pepco_Net UnBilled"/>
      <sheetName val="TBC Rate Summary"/>
      <sheetName val="Restructuring Amort."/>
      <sheetName val="2002 - 2007 BGS FP Costs"/>
      <sheetName val="PRISM Impacts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heet"/>
      <sheetName val="Report "/>
      <sheetName val="98LTIP&lt;500m"/>
      <sheetName val="98LTIP500m-1b"/>
      <sheetName val="98LTIP1b-3b"/>
      <sheetName val="98LTIP3b-6b"/>
      <sheetName val="98LTIP6b-10b"/>
      <sheetName val="98LTIP&gt;10b"/>
      <sheetName val="98LTIPALL"/>
      <sheetName val="97LTIPBank"/>
      <sheetName val="97LTIPIns"/>
      <sheetName val="97LTIPFinAll"/>
      <sheetName val="Main Menu"/>
      <sheetName val="Instructions"/>
      <sheetName val="Author"/>
      <sheetName val="Template Management"/>
      <sheetName val="Data"/>
      <sheetName val="Footnotes"/>
      <sheetName val="Black-Scholes Inputs"/>
      <sheetName val="Risk-free Rates"/>
      <sheetName val="Stock Options"/>
      <sheetName val="Restricted Shares"/>
      <sheetName val="Performance Plan"/>
      <sheetName val="Peer Group"/>
      <sheetName val="Print Menu"/>
      <sheetName val="BS Listings - Helen"/>
      <sheetName val="HardCoded Data"/>
      <sheetName val="HardCoded Data (2)"/>
      <sheetName val="Financi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apital Structure"/>
      <sheetName val="Deferral Forecast"/>
      <sheetName val="Revenue Requirements Summary"/>
      <sheetName val="750kW Bill Comparison"/>
      <sheetName val="Income Statement"/>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SBC Deferral"/>
      <sheetName val="MTC Deferral"/>
      <sheetName val="DSM August 1999 - July 2003"/>
      <sheetName val="Deferral Balances"/>
      <sheetName val="Interest Calc"/>
      <sheetName val="TUB Rate Summary"/>
      <sheetName val="NNC Rates 2002-2003"/>
      <sheetName val="Reg Asset Rates"/>
      <sheetName val="2002 Reg Asset Rate"/>
      <sheetName val="2002 - 2007 BGS FP Costs"/>
      <sheetName val="Shopping Credit Table"/>
      <sheetName val="BGS Rates"/>
      <sheetName val="BGS NUG Rates"/>
      <sheetName val="Generation Results 7-2-01"/>
      <sheetName val="GRFT Amortization"/>
      <sheetName val="Keystone Swap Amort Sched"/>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Keystone Rev Req"/>
      <sheetName val="Conemaugh Rev Req"/>
      <sheetName val="taxes"/>
      <sheetName val="MTC Return"/>
      <sheetName val="SAP Upload Support"/>
      <sheetName val="OTRA Discounts"/>
      <sheetName val="5 YearUpdated4-24-02"/>
      <sheetName val="2002 Budget Revenues"/>
      <sheetName val="2001 Budget Revenues"/>
      <sheetName val="Rate Component Matrix"/>
      <sheetName val="Pepco_Billed"/>
      <sheetName val="Pepco_Net UnBilled"/>
      <sheetName val="Monthly Bill 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Income Statement UI Interest"/>
      <sheetName val="Bonds Summary"/>
      <sheetName val="ACE LLC Detail Income Statement"/>
      <sheetName val="IS - Reserve for Restrct. amort"/>
      <sheetName val="Income Statement New Unbilled"/>
      <sheetName val="Income Statement New UBR TBC"/>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Reg Asset Rate"/>
      <sheetName val="2002 - 2007 BGS FP Costs"/>
      <sheetName val="BGS Rates"/>
      <sheetName val="Keystone Swap Amort Sched"/>
      <sheetName val="Restructuring Amort."/>
      <sheetName val="ACE 25 Year Sales Forecast"/>
      <sheetName val="PJM Capacity Obligation"/>
      <sheetName val="BL England Rev Req"/>
      <sheetName val="Keystone Rev Req"/>
      <sheetName val="Conemaugh Rev Req"/>
      <sheetName val="Generation Summary"/>
      <sheetName val="taxes"/>
      <sheetName val="SAP Upload Support"/>
      <sheetName val="OTRA Discounts"/>
      <sheetName val="Deferral Securitization"/>
      <sheetName val="Debt Design"/>
      <sheetName val="TBC Development"/>
      <sheetName val="MTC -Tax Development"/>
      <sheetName val="Budget Summary"/>
      <sheetName val="MTC Return"/>
      <sheetName val="ACE 093002 LT Debt Actual "/>
      <sheetName val="kWh-Mcf"/>
      <sheetName val="Pepco_Billed"/>
      <sheetName val="Pepco_Net UnBil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12-SCF - Other Line Item Detail"/>
      <sheetName val="13-PPE"/>
      <sheetName val="14-Investments"/>
      <sheetName val="15-LTD"/>
      <sheetName val="16-GW Amort and Other Assets"/>
      <sheetName val="17-Equity Rollforward"/>
      <sheetName val="18-Footnote Disclosures"/>
      <sheetName val="19-Schedule II - Valuations"/>
      <sheetName val="20-Statistics -QTR"/>
      <sheetName val="21-Statistics - YTD"/>
      <sheetName val="22-Add'l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Adjusted 2001 Cash Flow "/>
      <sheetName val="Board  Cash Flow"/>
      <sheetName val="12-SCF - Other Line Item Detail"/>
      <sheetName val="13-PPE"/>
      <sheetName val="14-Investments"/>
      <sheetName val="15-LTD"/>
      <sheetName val="16-GW Amort and Other Assets"/>
      <sheetName val="17-Equity Rollforward"/>
      <sheetName val="17a-OCI Roll Support YTD"/>
      <sheetName val="17b-OCI Roll Support QTD"/>
      <sheetName val="18-Footnote Disclosures"/>
      <sheetName val="19-Schedule II - Valuations"/>
      <sheetName val="20-Statistics -QTR"/>
      <sheetName val="21-Statistics - YTD"/>
      <sheetName val="22-Add'l Info"/>
      <sheetName val="23-BS Topsides"/>
      <sheetName val="23-IS Topsides"/>
      <sheetName val="24-BS Reclass-Rounding"/>
      <sheetName val="Statement of Income Variances"/>
      <sheetName val="17a-OCI Roll Support"/>
      <sheetName val="TFI use"/>
      <sheetName val="KP06 CE ATD - $$"/>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c"/>
      <sheetName val="Other Budget"/>
      <sheetName val="Other LE"/>
      <sheetName val="3-9 LE"/>
      <sheetName val="6-6 LE"/>
      <sheetName val="7-5 LE"/>
      <sheetName val="Actuals"/>
      <sheetName val="Calculations"/>
      <sheetName val="Var Anal"/>
      <sheetName val="MFR"/>
      <sheetName val="QMM"/>
      <sheetName val="BOD"/>
      <sheetName val="KPIs"/>
      <sheetName val="Module1"/>
      <sheetName val="Module2"/>
      <sheetName val="Module3"/>
      <sheetName val="Module4"/>
      <sheetName val="Module5"/>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O M"/>
      <sheetName val="BUD O M"/>
      <sheetName val="ACT CAP"/>
      <sheetName val="BUD CAP"/>
      <sheetName val="Calculations"/>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
      <sheetName val="East"/>
      <sheetName val="Exhibit - No Fossil"/>
      <sheetName val="Exhibit"/>
      <sheetName val="Ratio Summary"/>
      <sheetName val="SAS Results"/>
      <sheetName val="SAP Results"/>
      <sheetName val="CBPP Summary"/>
      <sheetName val="SMRP Results"/>
      <sheetName val="SPBP Results"/>
      <sheetName val="BU Translation"/>
      <sheetName val="Control"/>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Budget System Users"/>
      <sheetName val="Sheet5"/>
      <sheetName val="Sheet2"/>
      <sheetName val="Data List"/>
      <sheetName val="CCTR_Data"/>
      <sheetName val="Data_Tbl"/>
      <sheetName val="Sheet4"/>
      <sheetName val="Walt_CCTR_Detail"/>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Declarations"/>
      <sheetName val="Report Specific Functions"/>
      <sheetName val="Report Template Module"/>
      <sheetName val="REPORT1"/>
      <sheetName val="REPORT1.xlr"/>
    </sheetNames>
    <definedNames>
      <definedName name="Choose_Prefs"/>
      <definedName name="Refresh_Repor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pplication of Controls"/>
      <sheetName val="Doc &amp; Chg Control Tab Sample 1"/>
      <sheetName val="Doc &amp; Chg Control Tab Sample 2"/>
      <sheetName val="Inventory Request- UPDATED"/>
      <sheetName val="Inventory Request- OLD"/>
      <sheetName val="Categories &amp; Complexity"/>
      <sheetName val="lists"/>
      <sheetName val="Assumptions - In"/>
      <sheetName val="Spreadsheet Inventory Templa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Impact Schedule"/>
      <sheetName val="Impact Schedule_Old"/>
      <sheetName val="Reserve Variance"/>
      <sheetName val="Depr_Lot"/>
      <sheetName val="Control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Year Credit Facility (2)"/>
      <sheetName val="One Year Credit Facility"/>
      <sheetName val="One Year Credit Facility (2 (3)"/>
      <sheetName val="Three Year Credit Facility"/>
      <sheetName val="FIVE Year Credit Facility"/>
      <sheetName val="Credit Facility.2005"/>
      <sheetName val="Credit Facility.2004"/>
      <sheetName val="Formulas"/>
      <sheetName val="Spreadsheet Changes"/>
      <sheetName val="Credit Facility"/>
      <sheetName val="One Year Credit Facility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Rank2"/>
      <sheetName val="Rank"/>
      <sheetName val="Data DGS"/>
      <sheetName val="DGS"/>
      <sheetName val="CS"/>
      <sheetName val="Data CS"/>
      <sheetName val="PctRev"/>
      <sheetName val="PP"/>
      <sheetName val="Cost"/>
      <sheetName val="Adm"/>
      <sheetName val="HdctBwAvg"/>
      <sheetName val="NR by Cluster"/>
      <sheetName val="Comp"/>
      <sheetName val="Data"/>
      <sheetName val="DataAdm"/>
      <sheetName val="RSF"/>
      <sheetName val="Adm Salary Leveling"/>
      <sheetName val="Tables"/>
      <sheetName val="One Year Credit Facility (2 (3)"/>
      <sheetName val="One Year Credit Facility"/>
      <sheetName val="Three Year Credit Fac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P Funded Status Split PBO"/>
      <sheetName val="SPBP Funded Status Split PBO"/>
      <sheetName val="AMG Funded Status Split PBO"/>
      <sheetName val="ENE Funded Status Split PBO"/>
      <sheetName val="CBPPBU Funded Status Split PBO"/>
      <sheetName val="CBPP Funded Status Split PBO"/>
      <sheetName val="ECRP Funded Status Split PBO"/>
      <sheetName val="East-West Ratio Summary"/>
      <sheetName val="2007 BU FVA, TO, PSC Split"/>
      <sheetName val="2007 BU PBO, SC Split(PreEDSS)"/>
      <sheetName val="2007 BU PBO, SC Split(PostEDSS)"/>
      <sheetName val="BU Ratio Summary"/>
      <sheetName val="Summary of FAS 158 Entries"/>
      <sheetName val="Steps"/>
      <sheetName val="Plans Included"/>
      <sheetName val="change07 by plan"/>
      <sheetName val="nppc 07 by plan"/>
      <sheetName val="Extra Information"/>
      <sheetName val="Output1"/>
      <sheetName val="Output2"/>
      <sheetName val="Output3"/>
      <sheetName val="Output4"/>
      <sheetName val="Output5"/>
      <sheetName val="Output6"/>
      <sheetName val="Output7"/>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2008 Budget Option Model"/>
      <sheetName val="2008 Budget Option Model +$2shr"/>
      <sheetName val="2008 Budget Option Model (-$2)"/>
      <sheetName val="2008 Budget Option Model + 15%"/>
      <sheetName val="2008 Budget Option Model (-)15%"/>
      <sheetName val="FRMB MORT BOND 8% 4-01-0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ACT"/>
      <sheetName val="insidenew (2)"/>
      <sheetName val="insidenew"/>
      <sheetName val="inside"/>
      <sheetName val="Oct-00"/>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Rates"/>
    </sheetNames>
    <sheetDataSet>
      <sheetData sheetId="0"/>
      <sheetData sheetId="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Instructions"/>
      <sheetName val="Examples"/>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KWH SOLD"/>
      <sheetName val="PEPCO ONLY"/>
      <sheetName val="UNBILLED KWH"/>
      <sheetName val="FIT LJH"/>
      <sheetName val="summary"/>
      <sheetName val="proforma int"/>
      <sheetName val="fi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JM Statements"/>
      <sheetName val="Instructions"/>
      <sheetName val="PE"/>
      <sheetName val="PERESH"/>
      <sheetName val="PELHR"/>
      <sheetName val="Notes"/>
      <sheetName val="ACTUAL PJM BILLS"/>
      <sheetName val="Load Estimates"/>
      <sheetName val="PERESH Estimate"/>
      <sheetName val="PE 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
      <sheetName val="PERESH"/>
      <sheetName val="PECCES"/>
      <sheetName val="PELHR"/>
      <sheetName val="Notes"/>
      <sheetName val="ACTUAL PJM BILLS"/>
      <sheetName val="Load Estimates"/>
      <sheetName val="PERESH Estimate"/>
      <sheetName val="PE Estimate"/>
      <sheetName val="PECCES Estimate"/>
    </sheetNames>
    <sheetDataSet>
      <sheetData sheetId="0" refreshError="1"/>
      <sheetData sheetId="1" refreshError="1"/>
      <sheetData sheetId="2"/>
      <sheetData sheetId="3"/>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
      <sheetName val="PERESH"/>
      <sheetName val="PENYPA"/>
      <sheetName val="PECCES"/>
      <sheetName val="PERD01"/>
      <sheetName val="PELHR"/>
      <sheetName val="Notes"/>
      <sheetName val="ACTUAL PJM BILLS"/>
      <sheetName val="Load Estimates"/>
      <sheetName val="PE Estimate"/>
      <sheetName val="PENYPA Estimate"/>
      <sheetName val="PERESH Estimate"/>
      <sheetName val="PECCES Estimate"/>
      <sheetName val="PERD01 Estim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JM Statements"/>
      <sheetName val="Instructions"/>
      <sheetName val="PE"/>
      <sheetName val="PERESH"/>
      <sheetName val="PELHR"/>
      <sheetName val="Notes"/>
      <sheetName val="ACTUAL PJM BILLS"/>
      <sheetName val="Load Estimates"/>
      <sheetName val="PERESH Estimate"/>
      <sheetName val="PE Estim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
      <sheetName val="ACE LOBs"/>
      <sheetName val="ACE adj"/>
      <sheetName val="DPL"/>
      <sheetName val="DPL CPD"/>
      <sheetName val="DE PLR"/>
      <sheetName val="DPL SOS"/>
      <sheetName val="DPL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Impact Analysis"/>
      <sheetName val="Monthly Bill Data"/>
      <sheetName val="ListsOfValues"/>
      <sheetName val="DE PLR"/>
      <sheetName val="UNBILLED KWH"/>
      <sheetName val="Assumptions"/>
      <sheetName val="TBC Rate Summary"/>
      <sheetName val="JFJ-4 CEP Rate"/>
      <sheetName val="JFJ-1 Deferral Recovery Rate"/>
      <sheetName val="Restructuring Amort."/>
      <sheetName val="ACE 25 Year Sales Forecast"/>
      <sheetName val="Keystone Swap Amort Sch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qtr 2000"/>
      <sheetName val="Summary"/>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Oct-00"/>
      <sheetName val="CONSOLIDATING W ADJUSTMENTS"/>
      <sheetName val="mktprice"/>
      <sheetName val="Assumptions"/>
      <sheetName val="State ETR Calc"/>
      <sheetName val="LineItem Data"/>
      <sheetName val="SETUP-Re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odule1"/>
      <sheetName val="2nd qtr 2000"/>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rf Ratings"/>
      <sheetName val="Incentives"/>
      <sheetName val="Goal Results"/>
      <sheetName val="Separations"/>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E"/>
      <sheetName val="ATTACHMENT D"/>
      <sheetName val="ATTACHMENT C"/>
      <sheetName val="ATTACHMENT B"/>
      <sheetName val="ATTACHMENT A"/>
      <sheetName val="SUM BY GROUP BY SITE BY YEAR"/>
      <sheetName val="CRC SCENARIO 1"/>
      <sheetName val="CRC SCENARIO 1 (BY SITE)"/>
      <sheetName val="CRC SCENARIO 2"/>
      <sheetName val="CRC SCENARIO 2 (BY SITE)"/>
      <sheetName val="IDR 15"/>
      <sheetName val="SAMPLE WORKSHEET"/>
      <sheetName val="REVISED 1998 SUM BY GROUP"/>
      <sheetName val="LEGACY SUM BY GROUP BY LOCATION"/>
      <sheetName val="CBMS SUM BY GROUP BY LOCATION"/>
      <sheetName val="Sample"/>
      <sheetName val="REVISED"/>
      <sheetName val="NH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Income Statement UI Interest"/>
      <sheetName val="Bonds Summary"/>
      <sheetName val="ACE LLC Detail Income Statement"/>
      <sheetName val="IS - Reserve for Restrct. amort"/>
      <sheetName val="Income Statement New Unbilled"/>
      <sheetName val="Income Statement New UBR TBC"/>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Reg Asset Rate"/>
      <sheetName val="2002 - 2007 BGS FP Costs"/>
      <sheetName val="BGS Rates"/>
      <sheetName val="Keystone Swap Amort Sched"/>
      <sheetName val="Restructuring Amort."/>
      <sheetName val="ACE 25 Year Sales Forecast"/>
      <sheetName val="PJM Capacity Obligation"/>
      <sheetName val="BL England Rev Req"/>
      <sheetName val="Keystone Rev Req"/>
      <sheetName val="Conemaugh Rev Req"/>
      <sheetName val="Generation Summary"/>
      <sheetName val="taxes"/>
      <sheetName val="SAP Upload Support"/>
      <sheetName val="OTRA Discounts"/>
      <sheetName val="Deferral Securitization"/>
      <sheetName val="Debt Design"/>
      <sheetName val="TBC Development"/>
      <sheetName val="MTC -Tax Development"/>
      <sheetName val="Budget Summary"/>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ECRP Assets"/>
      <sheetName val="CBPP Assets"/>
      <sheetName val="Amergen"/>
      <sheetName val="West"/>
      <sheetName val="East"/>
      <sheetName val="Ratio Summary"/>
      <sheetName val="FAS 87"/>
      <sheetName val="Inputs"/>
      <sheetName val="ECRP Alloc"/>
      <sheetName val="CBPP Alloc"/>
      <sheetName val="CBPPU Alloc"/>
      <sheetName val="ENE Alloc"/>
      <sheetName val="SPBP Alloc"/>
      <sheetName val="SMRP Alloc"/>
      <sheetName val="AMG Alloc"/>
      <sheetName val="Total Alloc"/>
      <sheetName val="Forecast Q-NQ"/>
      <sheetName val="NOTES"/>
      <sheetName val="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ComEd TOTI"/>
      <sheetName val="PECO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Financial Statements &gt;"/>
      <sheetName val="Functional Costs &gt;"/>
      <sheetName val="EED IS- Variances"/>
      <sheetName val="EED BS Var"/>
      <sheetName val="ComEd BS Var"/>
      <sheetName val="PECO BS Var"/>
      <sheetName val="EED CFS Var"/>
      <sheetName val="ComEd CFS Var"/>
      <sheetName val="PECO CFS Var"/>
      <sheetName val="C O&amp;M RR"/>
      <sheetName val="C Cap RR"/>
      <sheetName val="P O&amp;M RR"/>
      <sheetName val="P Cap RR"/>
      <sheetName val="Rev_Req"/>
      <sheetName val="FAS 8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ACE"/>
      <sheetName val="Q2ACE BPU "/>
      <sheetName val="Q3ACE BPU "/>
      <sheetName val="Q3 ACE Master"/>
    </sheetNames>
    <sheetDataSet>
      <sheetData sheetId="0"/>
      <sheetData sheetId="1"/>
      <sheetData sheetId="2">
        <row r="18">
          <cell r="F18">
            <v>227665</v>
          </cell>
          <cell r="L18">
            <v>1765.7729787230001</v>
          </cell>
          <cell r="N18">
            <v>7397.0412357880004</v>
          </cell>
          <cell r="Q18">
            <v>2.2931459595564516</v>
          </cell>
          <cell r="R18">
            <v>1765.7729787230001</v>
          </cell>
          <cell r="S18">
            <v>7397.0412357880004</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Nelson, Fatima" id="{90EBF8A4-74D1-426C-AB73-AED127F9EBF5}" userId="S::54620@icf.com::c46cb657-289f-477a-a144-1327b7473ce3" providerId="AD"/>
  <person displayName="Zerbe, Christopher" id="{1C08A733-389B-4B10-A29C-40B2E7C895AC}" userId="S::55584@icf.com::e69d3a90-dfb1-485f-9329-4f788fb797b2" providerId="AD"/>
  <person displayName="christian.church-guy@pepcoholdings.com" id="{471E367E-F667-412B-8A33-5F45AD7EC259}" userId="S::urn:spo:guest#christian.church-guy@pepcoholdings.com::" providerId="AD"/>
  <person displayName="Martin, Jeffrey J:(PHI)" id="{2980FD9E-CF92-41E5-B0FF-1E8E63EB5B92}" userId="S::E907818@exelonds.com::593c12c9-5dff-4c0e-93d1-bae67023d72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2.xml><?xml version="1.0" encoding="utf-8"?>
<ThreadedComments xmlns="http://schemas.microsoft.com/office/spreadsheetml/2018/threadedcomments" xmlns:x="http://schemas.openxmlformats.org/spreadsheetml/2006/main">
  <threadedComment ref="F8" dT="2023-04-27T13:44:38.00" personId="{90EBF8A4-74D1-426C-AB73-AED127F9EBF5}" id="{5F5EE908-9C51-4146-A40D-D90641CF6C9C}">
    <text>does not match with YTD in Ap C - Qtr electric LMI</text>
  </threadedComment>
  <threadedComment ref="F8" dT="2023-04-28T04:26:39.58" personId="{1C08A733-389B-4B10-A29C-40B2E7C895AC}" id="{CC34485F-6011-4014-B850-00CC3AB6E5B8}" parentId="{5F5EE908-9C51-4146-A40D-D90641CF6C9C}">
    <text>Also, (954-181 = 773) 773 does not equal the 691 YTD participants reported in Q2</text>
  </threadedComment>
  <threadedComment ref="N8" dT="2023-04-27T13:51:51.01" personId="{90EBF8A4-74D1-426C-AB73-AED127F9EBF5}" id="{276C17B9-B884-407E-BF89-559A6AAE6B75}">
    <text>does not match with YTD in Ap C - Qtr electric LMI. YTD number showing in Appliance rebates qtr savings</text>
  </threadedComment>
  <threadedComment ref="N8" dT="2023-04-28T04:30:24.24" personId="{1C08A733-389B-4B10-A29C-40B2E7C895AC}" id="{C6E393E8-82F9-4D00-B13E-D178E194CEB6}" parentId="{276C17B9-B884-407E-BF89-559A6AAE6B75}">
    <text>Also, (475-106 = 369) 369 does not equal the 336 YTD MWh reported in Q2</text>
  </threadedComment>
  <threadedComment ref="S8" dT="2023-04-28T04:40:17.32" personId="{1C08A733-389B-4B10-A29C-40B2E7C895AC}" id="{30DE45F1-4422-47C2-82CE-9E97CCC2F5CD}">
    <text>(7251-1670 = 5581) 5581 does not equal the 5327 YTD MWh reported in Q2</text>
  </threadedComment>
  <threadedComment ref="F10" dT="2023-04-28T04:28:01.36" personId="{1C08A733-389B-4B10-A29C-40B2E7C895AC}" id="{4A59C6F3-EB38-47E8-B6BB-3C75D28204FC}">
    <text>(1403-410 = 993) 993 does not equal the 1109 YTD participants reported in Q2</text>
  </threadedComment>
  <threadedComment ref="N10" dT="2023-04-28T04:32:00.95" personId="{1C08A733-389B-4B10-A29C-40B2E7C895AC}" id="{EE053B7D-CBD2-404F-B9F6-E1AC041A560B}">
    <text>(1550-459 = 1091) 1091 does not equal the 1015 YTD MWh reported in Q2</text>
  </threadedComment>
  <threadedComment ref="R10" dT="2023-04-28T04:41:40.35" personId="{1C08A733-389B-4B10-A29C-40B2E7C895AC}" id="{5ADBB05A-E968-4502-9C4E-4A27491422B7}">
    <text>Should not be 0</text>
  </threadedComment>
  <threadedComment ref="S10" dT="2023-04-28T04:41:48.98" personId="{1C08A733-389B-4B10-A29C-40B2E7C895AC}" id="{956FA5BC-2372-4F97-A83E-E73B172B2AB4}">
    <text>Should not be 0</text>
  </threadedComment>
  <threadedComment ref="F12" dT="2023-04-27T13:45:16.35" personId="{90EBF8A4-74D1-426C-AB73-AED127F9EBF5}" id="{1A56364F-69C4-44EC-B38C-CD3731B00099}">
    <text>does not match with YTD in Ap C - Qtr electric LMI. YTD number is showing in Qtr section.</text>
  </threadedComment>
  <threadedComment ref="N12" dT="2023-04-27T13:53:18.08" personId="{90EBF8A4-74D1-426C-AB73-AED127F9EBF5}" id="{48CEFD70-D978-44B7-B0A4-E7298E3C7E5B}">
    <text>does not match with YTD in Ap C - Qtr electric LMI. 2,522 showing in qtr numbers.</text>
  </threadedComment>
  <threadedComment ref="N12" dT="2023-04-28T04:34:48.23" personId="{1C08A733-389B-4B10-A29C-40B2E7C895AC}" id="{1EC0823D-F71E-42B5-BDA6-1E87A153E138}" parentId="{48CEFD70-D978-44B7-B0A4-E7298E3C7E5B}">
    <text>Also, (6256-2522 = 3734) 3734 does not equal the 3945 YTD MWh reported in Q2</text>
  </threadedComment>
  <threadedComment ref="S12" dT="2023-04-28T04:45:36.33" personId="{1C08A733-389B-4B10-A29C-40B2E7C895AC}" id="{EA457FA6-2C20-4476-B878-D628702C8E2B}">
    <text>(86492-31125 = 55367) 55,367 does not equal the 51,195 YTD MWh reported in Q2</text>
  </threadedComment>
  <threadedComment ref="F13" dT="2023-04-27T13:46:26.21" personId="{90EBF8A4-74D1-426C-AB73-AED127F9EBF5}" id="{7B624C67-9A96-4FF9-9119-82F28FA3049D}">
    <text>does not match with YTD in Ap C - Qtr electric LMI</text>
  </threadedComment>
  <threadedComment ref="N13" dT="2023-04-27T13:51:12.83" personId="{90EBF8A4-74D1-426C-AB73-AED127F9EBF5}" id="{64A01E19-E488-40FA-8A47-0748DBD3FEBD}">
    <text>does not match with YTD in Ap C - Qtr electric LMI</text>
  </threadedComment>
  <threadedComment ref="N13" dT="2023-04-28T04:36:14.81" personId="{1C08A733-389B-4B10-A29C-40B2E7C895AC}" id="{7963E165-F443-48F2-86A1-B8021C2BDD4F}" parentId="{64A01E19-E488-40FA-8A47-0748DBD3FEBD}">
    <text>Also, (20062-7927 = 12135) 12135 does not equal the 12067 YTD MWh reported in Q2</text>
  </threadedComment>
  <threadedComment ref="S13" dT="2023-04-28T04:47:47.66" personId="{1C08A733-389B-4B10-A29C-40B2E7C895AC}" id="{E303537B-0652-4010-8CF9-7AB0E4A8F710}">
    <text>(300,935 - 118,911 = 182,024) 182,024 does not equal the 181,001 YTD MWh reported in Q2</text>
  </threadedComment>
  <threadedComment ref="N16" dT="2023-04-27T13:53:58.52" personId="{90EBF8A4-74D1-426C-AB73-AED127F9EBF5}" id="{9F434ECF-5A8B-4D0E-BFCB-D032D8CA803E}" done="1">
    <text>off by 1. YTD numbers shows as 1,419</text>
  </threadedComment>
  <threadedComment ref="N16" dT="2023-04-27T19:21:35.84" personId="{471E367E-F667-412B-8A33-5F45AD7EC259}" id="{2EEC541D-EB05-4B63-B2E2-2D638D0FE210}" parentId="{9F434ECF-5A8B-4D0E-BFCB-D032D8CA803E}">
    <text>Likely a rounding issue.</text>
  </threadedComment>
  <threadedComment ref="E22" dT="2023-04-27T13:01:44.62" personId="{2980FD9E-CF92-41E5-B0FF-1E8E63EB5B92}" id="{A03573A6-CA14-4AD8-B0CA-AACADDFE491C}" done="1">
    <text>Replaced forecast of 250 w/PY2 forecast of 180</text>
  </threadedComment>
  <threadedComment ref="M22" dT="2023-04-27T13:04:31.47" personId="{2980FD9E-CF92-41E5-B0FF-1E8E63EB5B92}" id="{4FD7689C-D71F-46C7-8260-C7B9F3CF4186}" done="1">
    <text>Replaced forecast of 7,399 w/PY2 forecast of 8,363</text>
  </threadedComment>
  <threadedComment ref="D23" dT="2023-04-27T12:59:33.42" personId="{2980FD9E-CF92-41E5-B0FF-1E8E63EB5B92}" id="{6E8E61A5-A38D-4F40-8392-9955211290B8}" done="1">
    <text>Replaced Measure count of 16,309 w/project count of 72</text>
  </threadedComment>
  <threadedComment ref="F23" dT="2023-04-27T13:00:22.48" personId="{2980FD9E-CF92-41E5-B0FF-1E8E63EB5B92}" id="{471A6990-785A-42DF-9E44-D6D6DF348D5E}" done="1">
    <text>Replaced Measure count of 50,166 w/project count of 222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13"/>
  <sheetViews>
    <sheetView zoomScaleNormal="100" workbookViewId="0">
      <selection activeCell="N14" sqref="N14"/>
    </sheetView>
  </sheetViews>
  <sheetFormatPr defaultRowHeight="14.5" x14ac:dyDescent="0.35"/>
  <cols>
    <col min="1" max="1" width="4.81640625" customWidth="1"/>
    <col min="2" max="2" width="32.1796875" bestFit="1" customWidth="1"/>
    <col min="3" max="14" width="9.7265625" customWidth="1"/>
  </cols>
  <sheetData>
    <row r="1" spans="1:14" x14ac:dyDescent="0.35">
      <c r="A1" s="335"/>
      <c r="B1" s="335"/>
      <c r="C1" s="335"/>
    </row>
    <row r="2" spans="1:14" x14ac:dyDescent="0.35">
      <c r="A2" s="335"/>
      <c r="B2" t="s">
        <v>27</v>
      </c>
    </row>
    <row r="3" spans="1:14" x14ac:dyDescent="0.35">
      <c r="A3" s="335"/>
      <c r="B3" s="880"/>
      <c r="C3" s="882" t="s">
        <v>28</v>
      </c>
      <c r="D3" s="882"/>
      <c r="E3" s="882"/>
      <c r="F3" s="882"/>
      <c r="G3" s="882"/>
      <c r="H3" s="882"/>
      <c r="I3" s="882" t="s">
        <v>29</v>
      </c>
      <c r="J3" s="882"/>
      <c r="K3" s="882"/>
      <c r="L3" s="882"/>
      <c r="M3" s="882"/>
      <c r="N3" s="882"/>
    </row>
    <row r="4" spans="1:14" x14ac:dyDescent="0.35">
      <c r="A4" s="335"/>
      <c r="B4" s="881"/>
      <c r="C4" s="276" t="s">
        <v>30</v>
      </c>
      <c r="D4" s="275" t="s">
        <v>31</v>
      </c>
      <c r="E4" s="275" t="s">
        <v>32</v>
      </c>
      <c r="F4" s="274" t="s">
        <v>33</v>
      </c>
      <c r="G4" s="273" t="s">
        <v>34</v>
      </c>
      <c r="H4" s="273" t="s">
        <v>35</v>
      </c>
      <c r="I4" s="276" t="s">
        <v>30</v>
      </c>
      <c r="J4" s="275" t="s">
        <v>31</v>
      </c>
      <c r="K4" s="275" t="s">
        <v>32</v>
      </c>
      <c r="L4" s="274" t="s">
        <v>33</v>
      </c>
      <c r="M4" s="273" t="s">
        <v>34</v>
      </c>
      <c r="N4" s="273" t="s">
        <v>35</v>
      </c>
    </row>
    <row r="5" spans="1:14" x14ac:dyDescent="0.35">
      <c r="B5" s="13" t="s">
        <v>36</v>
      </c>
      <c r="C5" s="456">
        <v>3.8</v>
      </c>
      <c r="D5" s="456">
        <v>5.5</v>
      </c>
      <c r="E5" s="456">
        <v>3.2</v>
      </c>
      <c r="F5" s="457">
        <v>1.5</v>
      </c>
      <c r="G5" s="457">
        <v>2.9</v>
      </c>
      <c r="H5" s="457">
        <v>7.4</v>
      </c>
      <c r="I5" s="459">
        <f>'AP H - CostTest'!$G$49</f>
        <v>2.285043159517441</v>
      </c>
      <c r="J5" s="459">
        <f>'AP H - CostTest'!$G$23</f>
        <v>8.2032847419263124</v>
      </c>
      <c r="K5" s="459">
        <f>'AP H - CostTest'!$G$26</f>
        <v>0.98637837503576731</v>
      </c>
      <c r="L5" s="459">
        <f>'AP H - CostTest'!$G$31</f>
        <v>0.24942845238377662</v>
      </c>
      <c r="M5" s="459">
        <f>'AP H - CostTest'!$G$18</f>
        <v>0.8479883914825378</v>
      </c>
      <c r="N5" s="459">
        <v>1.01569297647583</v>
      </c>
    </row>
    <row r="6" spans="1:14" x14ac:dyDescent="0.35">
      <c r="B6" s="13" t="s">
        <v>4</v>
      </c>
      <c r="C6" s="456">
        <v>5.2</v>
      </c>
      <c r="D6" s="456">
        <v>6.5</v>
      </c>
      <c r="E6" s="456">
        <v>4.8</v>
      </c>
      <c r="F6" s="457">
        <v>2</v>
      </c>
      <c r="G6" s="457">
        <v>3.9</v>
      </c>
      <c r="H6" s="457">
        <v>11</v>
      </c>
      <c r="I6" s="459">
        <f>'AP H - CostTest'!$D$49</f>
        <v>1.3053558739628566</v>
      </c>
      <c r="J6" s="459">
        <f>'AP H - CostTest'!$D$23</f>
        <v>3.8039183004042512</v>
      </c>
      <c r="K6" s="459">
        <f>'AP H - CostTest'!$D$26</f>
        <v>0.6870310655102162</v>
      </c>
      <c r="L6" s="459">
        <f>'AP H - CostTest'!$D$31</f>
        <v>0.26101354461764914</v>
      </c>
      <c r="M6" s="459">
        <f>'AP H - CostTest'!$D$18</f>
        <v>0.54968235386226594</v>
      </c>
      <c r="N6" s="459">
        <v>0.68194573915091194</v>
      </c>
    </row>
    <row r="7" spans="1:14" x14ac:dyDescent="0.35">
      <c r="B7" s="13" t="s">
        <v>1</v>
      </c>
      <c r="C7" s="456">
        <v>3.1</v>
      </c>
      <c r="D7" s="456">
        <v>5.5</v>
      </c>
      <c r="E7" s="456">
        <v>2.7</v>
      </c>
      <c r="F7" s="457">
        <v>1.1000000000000001</v>
      </c>
      <c r="G7" s="457">
        <v>2.4</v>
      </c>
      <c r="H7" s="457">
        <v>5.2</v>
      </c>
      <c r="I7" s="459">
        <v>3.3430276024051202</v>
      </c>
      <c r="J7" s="459">
        <v>15.222879798160401</v>
      </c>
      <c r="K7" s="459">
        <v>1.2662724440875499</v>
      </c>
      <c r="L7" s="459">
        <v>0.243935831733085</v>
      </c>
      <c r="M7" s="459">
        <v>1.1701352149386199</v>
      </c>
      <c r="N7" s="459">
        <v>1.37611348019465</v>
      </c>
    </row>
    <row r="8" spans="1:14" x14ac:dyDescent="0.35">
      <c r="B8" s="13" t="s">
        <v>17</v>
      </c>
      <c r="C8" s="456">
        <v>2.6</v>
      </c>
      <c r="D8" s="456">
        <v>4.7</v>
      </c>
      <c r="E8" s="456">
        <v>1.7</v>
      </c>
      <c r="F8" s="457">
        <v>1</v>
      </c>
      <c r="G8" s="457">
        <v>1.9</v>
      </c>
      <c r="H8" s="457">
        <v>4.8</v>
      </c>
      <c r="I8" s="459">
        <f>'AP H - CostTest'!$I$49</f>
        <v>0</v>
      </c>
      <c r="J8" s="459">
        <f>'AP H - CostTest'!$I$23</f>
        <v>0</v>
      </c>
      <c r="K8" s="459">
        <f>'AP H - CostTest'!$I$26</f>
        <v>0</v>
      </c>
      <c r="L8" s="459">
        <f>'AP H - CostTest'!$I$31</f>
        <v>0</v>
      </c>
      <c r="M8" s="459">
        <f>'AP H - CostTest'!$I$18</f>
        <v>0</v>
      </c>
      <c r="N8" s="459">
        <v>0</v>
      </c>
    </row>
    <row r="9" spans="1:14" x14ac:dyDescent="0.35">
      <c r="B9" s="13" t="s">
        <v>24</v>
      </c>
      <c r="C9" s="456">
        <v>4.5999999999999996</v>
      </c>
      <c r="D9" s="456">
        <v>10.199999999999999</v>
      </c>
      <c r="E9" s="456">
        <v>3.7</v>
      </c>
      <c r="F9" s="457">
        <v>1.2</v>
      </c>
      <c r="G9" s="457">
        <v>3.5</v>
      </c>
      <c r="H9" s="457">
        <v>7.5</v>
      </c>
      <c r="I9" s="459">
        <f>'AP H - CostTest'!$H$49</f>
        <v>4.3776908628690645</v>
      </c>
      <c r="J9" s="459">
        <f>'AP H - CostTest'!$H$23</f>
        <v>14.39901343597217</v>
      </c>
      <c r="K9" s="459">
        <f>'AP H - CostTest'!$H$26</f>
        <v>1.7053001645518653</v>
      </c>
      <c r="L9" s="459">
        <f>'AP H - CostTest'!$H$31</f>
        <v>0.25205303136027352</v>
      </c>
      <c r="M9" s="459">
        <f>'AP H - CostTest'!$H$18</f>
        <v>1.5003459427272223</v>
      </c>
      <c r="N9" s="459">
        <v>1.77582977007264</v>
      </c>
    </row>
    <row r="10" spans="1:14" x14ac:dyDescent="0.35">
      <c r="B10" s="13" t="s">
        <v>19</v>
      </c>
      <c r="C10" s="458">
        <v>7.3907289515709147</v>
      </c>
      <c r="D10" s="458">
        <v>7.7471539987534408</v>
      </c>
      <c r="E10" s="458">
        <v>10.376766467040156</v>
      </c>
      <c r="F10" s="458">
        <v>2.7950720036997025</v>
      </c>
      <c r="G10" s="458">
        <v>5.6959702145611315</v>
      </c>
      <c r="H10" s="458">
        <v>16.28771657135146</v>
      </c>
      <c r="I10" s="459">
        <f>'AP H - CostTest'!$J$49</f>
        <v>1.7034251452499201</v>
      </c>
      <c r="J10" s="459">
        <f>'AP H - CostTest'!$J$23</f>
        <v>3.8039183004042512</v>
      </c>
      <c r="K10" s="459">
        <f>'AP H - CostTest'!$J$26</f>
        <v>0.97049100876765504</v>
      </c>
      <c r="L10" s="459">
        <f>'AP H - CostTest'!$J$31</f>
        <v>0.29359204868874139</v>
      </c>
      <c r="M10" s="459">
        <f>'AP H - CostTest'!$J$18</f>
        <v>0.71730840772682014</v>
      </c>
      <c r="N10" s="459">
        <v>0.88990561343178998</v>
      </c>
    </row>
    <row r="11" spans="1:14" x14ac:dyDescent="0.35">
      <c r="B11" s="13" t="s">
        <v>25</v>
      </c>
      <c r="C11" s="458">
        <v>1.6166741131827793</v>
      </c>
      <c r="D11" s="458">
        <v>2.7428497342627178</v>
      </c>
      <c r="E11" s="458">
        <v>1.2834301585087025</v>
      </c>
      <c r="F11" s="458">
        <v>0.76940907816116932</v>
      </c>
      <c r="G11" s="458">
        <v>1.1606292552553075</v>
      </c>
      <c r="H11" s="458">
        <v>2.7258823624604727</v>
      </c>
      <c r="I11" s="459">
        <f>'AP H - CostTest'!$K$49</f>
        <v>7.0457139718472062E-2</v>
      </c>
      <c r="J11" s="459">
        <f>'AP H - CostTest'!$K$23</f>
        <v>1.8579073834007962</v>
      </c>
      <c r="K11" s="459">
        <f>'AP H - CostTest'!$K$26</f>
        <v>2.1101947977855567E-2</v>
      </c>
      <c r="L11" s="459">
        <f>'AP H - CostTest'!$K$31</f>
        <v>1.9552866217914074E-2</v>
      </c>
      <c r="M11" s="459">
        <f>'AP H - CostTest'!$K$18</f>
        <v>2.056410875960166E-2</v>
      </c>
      <c r="N11" s="459">
        <v>2.6577087435215099E-2</v>
      </c>
    </row>
    <row r="12" spans="1:14" x14ac:dyDescent="0.35">
      <c r="B12" s="13" t="s">
        <v>37</v>
      </c>
      <c r="C12" s="458">
        <v>2.9</v>
      </c>
      <c r="D12" s="458">
        <v>4.8</v>
      </c>
      <c r="E12" s="458">
        <v>2.6</v>
      </c>
      <c r="F12" s="458">
        <v>1.1000000000000001</v>
      </c>
      <c r="G12" s="458">
        <v>2.6</v>
      </c>
      <c r="H12" s="458">
        <v>3.9</v>
      </c>
      <c r="I12" s="459">
        <f>'AP H - CostTest'!$L$49</f>
        <v>6.2004282268377535</v>
      </c>
      <c r="J12" s="459">
        <f>'AP H - CostTest'!$L$23</f>
        <v>25.420585637889175</v>
      </c>
      <c r="K12" s="459">
        <f>'AP H - CostTest'!$L$26</f>
        <v>2.3197754126461825</v>
      </c>
      <c r="L12" s="459">
        <f>'AP H - CostTest'!$L$31</f>
        <v>0.28335988295878328</v>
      </c>
      <c r="M12" s="459">
        <f>'AP H - CostTest'!$L$18</f>
        <v>2.3197754126461825</v>
      </c>
      <c r="N12" s="459">
        <v>2.6729582114031101</v>
      </c>
    </row>
    <row r="13" spans="1:14" x14ac:dyDescent="0.35">
      <c r="B13" s="13" t="s">
        <v>23</v>
      </c>
      <c r="C13" s="458">
        <v>4.2</v>
      </c>
      <c r="D13" s="458">
        <v>6</v>
      </c>
      <c r="E13" s="458">
        <v>3.1</v>
      </c>
      <c r="F13" s="458">
        <v>1.2</v>
      </c>
      <c r="G13" s="458">
        <v>3.1</v>
      </c>
      <c r="H13" s="458">
        <v>6.9</v>
      </c>
      <c r="I13" s="459">
        <v>0</v>
      </c>
      <c r="J13" s="459">
        <v>0</v>
      </c>
      <c r="K13" s="459">
        <v>0</v>
      </c>
      <c r="L13" s="459">
        <v>0</v>
      </c>
      <c r="M13" s="459">
        <v>0</v>
      </c>
      <c r="N13" s="459">
        <v>0</v>
      </c>
    </row>
  </sheetData>
  <mergeCells count="3">
    <mergeCell ref="B3:B4"/>
    <mergeCell ref="C3:H3"/>
    <mergeCell ref="I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AL72"/>
  <sheetViews>
    <sheetView zoomScale="130" zoomScaleNormal="130" zoomScaleSheetLayoutView="100" workbookViewId="0">
      <selection activeCell="T10" sqref="T10"/>
    </sheetView>
  </sheetViews>
  <sheetFormatPr defaultColWidth="9.26953125" defaultRowHeight="14.5" x14ac:dyDescent="0.35"/>
  <cols>
    <col min="1" max="1" width="0.1796875" customWidth="1"/>
    <col min="2" max="2" width="20.81640625" customWidth="1"/>
    <col min="3" max="3" width="32.81640625" customWidth="1"/>
    <col min="4" max="4" width="10.54296875" customWidth="1"/>
    <col min="5" max="5" width="12.7265625" customWidth="1"/>
    <col min="6" max="6" width="12.1796875" customWidth="1"/>
    <col min="7" max="7" width="11.7265625" customWidth="1"/>
    <col min="8" max="8" width="12.453125" customWidth="1"/>
    <col min="9" max="9" width="12.26953125" customWidth="1"/>
    <col min="10" max="10" width="12.1796875" customWidth="1"/>
    <col min="11" max="11" width="11.54296875" customWidth="1"/>
    <col min="12" max="12" width="13.81640625" customWidth="1"/>
    <col min="13" max="13" width="13.54296875" customWidth="1"/>
    <col min="14" max="14" width="13.54296875" style="2" customWidth="1"/>
    <col min="15" max="15" width="11.453125" style="2" customWidth="1"/>
    <col min="16" max="16" width="12.7265625" style="2" customWidth="1"/>
    <col min="17" max="17" width="13.453125" style="3" customWidth="1"/>
    <col min="18" max="18" width="13" customWidth="1"/>
    <col min="19" max="19" width="13.453125" style="2" customWidth="1"/>
    <col min="20" max="20" width="16.1796875" style="2" customWidth="1"/>
    <col min="21" max="21" width="12.7265625" hidden="1" customWidth="1"/>
    <col min="22" max="22" width="15.1796875" hidden="1" customWidth="1"/>
    <col min="23" max="23" width="14.81640625" hidden="1" customWidth="1"/>
    <col min="24" max="24" width="28.1796875" bestFit="1" customWidth="1"/>
    <col min="27" max="29" width="9.26953125" hidden="1" customWidth="1"/>
    <col min="30" max="30" width="0" hidden="1" customWidth="1"/>
  </cols>
  <sheetData>
    <row r="1" spans="1:33" ht="23.5" x14ac:dyDescent="0.55000000000000004">
      <c r="A1" s="1" t="s">
        <v>47</v>
      </c>
      <c r="D1" s="477" t="s">
        <v>48</v>
      </c>
      <c r="E1" s="478" t="s">
        <v>49</v>
      </c>
      <c r="F1" s="501" t="s">
        <v>50</v>
      </c>
      <c r="G1" s="479"/>
    </row>
    <row r="2" spans="1:33" ht="18.5" x14ac:dyDescent="0.45">
      <c r="D2" s="480" t="s">
        <v>51</v>
      </c>
      <c r="E2" s="481" t="s">
        <v>52</v>
      </c>
      <c r="F2" s="482" t="s">
        <v>53</v>
      </c>
      <c r="G2" s="483" t="s">
        <v>54</v>
      </c>
      <c r="H2" s="5"/>
    </row>
    <row r="3" spans="1:33" ht="19" thickBot="1" x14ac:dyDescent="0.5">
      <c r="A3" s="5"/>
      <c r="B3" s="5" t="s">
        <v>55</v>
      </c>
      <c r="C3" s="5"/>
      <c r="I3" s="5"/>
      <c r="J3" s="5"/>
      <c r="K3" s="5"/>
      <c r="L3" s="5"/>
      <c r="M3" s="5"/>
      <c r="Q3" s="9"/>
    </row>
    <row r="4" spans="1:33" ht="15" thickBot="1" x14ac:dyDescent="0.4">
      <c r="A4" t="s">
        <v>56</v>
      </c>
      <c r="B4" s="29"/>
      <c r="C4" s="29"/>
      <c r="D4" s="892" t="s">
        <v>57</v>
      </c>
      <c r="E4" s="892"/>
      <c r="F4" s="892"/>
      <c r="G4" s="893"/>
      <c r="H4" s="894" t="s">
        <v>58</v>
      </c>
      <c r="I4" s="895"/>
      <c r="J4" s="895"/>
      <c r="K4" s="895"/>
      <c r="L4" s="896" t="s">
        <v>59</v>
      </c>
      <c r="M4" s="897"/>
      <c r="N4" s="897"/>
      <c r="O4" s="897"/>
      <c r="P4" s="897"/>
      <c r="Q4" s="897"/>
      <c r="R4" s="897"/>
      <c r="S4" s="898"/>
      <c r="T4" s="44"/>
      <c r="U4" s="883" t="s">
        <v>60</v>
      </c>
      <c r="V4" s="883"/>
      <c r="W4" s="884"/>
    </row>
    <row r="5" spans="1:33" x14ac:dyDescent="0.35">
      <c r="B5" s="32"/>
      <c r="C5" s="32"/>
      <c r="D5" s="30" t="s">
        <v>61</v>
      </c>
      <c r="E5" s="14" t="s">
        <v>62</v>
      </c>
      <c r="F5" s="14" t="s">
        <v>63</v>
      </c>
      <c r="G5" s="14" t="s">
        <v>64</v>
      </c>
      <c r="H5" s="25" t="s">
        <v>65</v>
      </c>
      <c r="I5" s="26" t="s">
        <v>66</v>
      </c>
      <c r="J5" s="26" t="s">
        <v>67</v>
      </c>
      <c r="K5" s="303" t="s">
        <v>68</v>
      </c>
      <c r="L5" s="6" t="s">
        <v>69</v>
      </c>
      <c r="M5" s="22" t="s">
        <v>70</v>
      </c>
      <c r="N5" s="6" t="s">
        <v>71</v>
      </c>
      <c r="O5" s="22" t="s">
        <v>72</v>
      </c>
      <c r="P5" s="22" t="s">
        <v>73</v>
      </c>
      <c r="Q5" s="14" t="s">
        <v>74</v>
      </c>
      <c r="R5" s="46" t="s">
        <v>75</v>
      </c>
      <c r="S5" s="309" t="s">
        <v>76</v>
      </c>
      <c r="U5" s="605" t="s">
        <v>77</v>
      </c>
      <c r="V5" s="605" t="s">
        <v>78</v>
      </c>
      <c r="W5" s="606" t="s">
        <v>79</v>
      </c>
      <c r="X5" s="176"/>
      <c r="Y5" s="176"/>
      <c r="Z5" s="176"/>
      <c r="AA5" s="176"/>
    </row>
    <row r="6" spans="1:33" ht="55.5" customHeight="1" thickBot="1" x14ac:dyDescent="0.4">
      <c r="B6" s="31"/>
      <c r="C6" s="31"/>
      <c r="D6" s="33" t="s">
        <v>0</v>
      </c>
      <c r="E6" s="34" t="s">
        <v>80</v>
      </c>
      <c r="F6" s="34" t="s">
        <v>43</v>
      </c>
      <c r="G6" s="34" t="s">
        <v>81</v>
      </c>
      <c r="H6" s="27" t="s">
        <v>82</v>
      </c>
      <c r="I6" s="28" t="s">
        <v>83</v>
      </c>
      <c r="J6" s="28" t="s">
        <v>84</v>
      </c>
      <c r="K6" s="304" t="s">
        <v>85</v>
      </c>
      <c r="L6" s="310" t="s">
        <v>86</v>
      </c>
      <c r="M6" s="23" t="s">
        <v>87</v>
      </c>
      <c r="N6" s="12" t="s">
        <v>88</v>
      </c>
      <c r="O6" s="24" t="s">
        <v>89</v>
      </c>
      <c r="P6" s="24" t="s">
        <v>90</v>
      </c>
      <c r="Q6" s="7" t="s">
        <v>91</v>
      </c>
      <c r="R6" s="24" t="s">
        <v>92</v>
      </c>
      <c r="S6" s="311" t="s">
        <v>93</v>
      </c>
      <c r="U6" s="7" t="s">
        <v>94</v>
      </c>
      <c r="V6" s="7" t="s">
        <v>95</v>
      </c>
      <c r="W6" s="7" t="s">
        <v>96</v>
      </c>
      <c r="Y6" s="560" t="s">
        <v>97</v>
      </c>
      <c r="Z6" s="560" t="s">
        <v>40</v>
      </c>
      <c r="AA6" s="560" t="s">
        <v>98</v>
      </c>
      <c r="AB6" s="561" t="s">
        <v>99</v>
      </c>
      <c r="AC6" s="561" t="s">
        <v>100</v>
      </c>
      <c r="AD6" s="561" t="s">
        <v>101</v>
      </c>
      <c r="AE6" s="561" t="s">
        <v>99</v>
      </c>
      <c r="AF6" s="561" t="s">
        <v>100</v>
      </c>
      <c r="AG6" s="561" t="s">
        <v>101</v>
      </c>
    </row>
    <row r="7" spans="1:33" ht="15.75" customHeight="1" thickBot="1" x14ac:dyDescent="0.4">
      <c r="B7" s="49" t="s">
        <v>102</v>
      </c>
      <c r="C7" s="142" t="s">
        <v>103</v>
      </c>
      <c r="D7" s="352"/>
      <c r="E7" s="80"/>
      <c r="F7" s="178"/>
      <c r="G7" s="100"/>
      <c r="H7" s="79"/>
      <c r="I7" s="80"/>
      <c r="J7" s="81"/>
      <c r="K7" s="305"/>
      <c r="L7" s="126"/>
      <c r="M7" s="80"/>
      <c r="N7" s="127"/>
      <c r="O7" s="101"/>
      <c r="P7" s="127"/>
      <c r="Q7" s="127"/>
      <c r="R7" s="177"/>
      <c r="S7" s="312"/>
      <c r="T7" s="569"/>
      <c r="U7" s="641"/>
      <c r="V7" s="640"/>
      <c r="W7" s="640"/>
      <c r="Y7" s="391">
        <v>1</v>
      </c>
      <c r="Z7" s="391" t="s">
        <v>104</v>
      </c>
      <c r="AA7" s="391" t="s">
        <v>105</v>
      </c>
      <c r="AB7" s="392">
        <v>0.115</v>
      </c>
      <c r="AC7" s="392">
        <v>0.13400000000000001</v>
      </c>
      <c r="AD7" s="392">
        <v>1.4999999999999999E-2</v>
      </c>
      <c r="AE7" s="562">
        <f t="shared" ref="AE7:AE17" si="0">(AB7+1)</f>
        <v>1.115</v>
      </c>
      <c r="AF7" s="562">
        <f t="shared" ref="AF7:AF17" si="1">(AC7+1)</f>
        <v>1.1339999999999999</v>
      </c>
      <c r="AG7" s="562">
        <f t="shared" ref="AG7:AG17" si="2">(AD7+1)</f>
        <v>1.0149999999999999</v>
      </c>
    </row>
    <row r="8" spans="1:33" ht="15.75" customHeight="1" x14ac:dyDescent="0.35">
      <c r="B8" s="885" t="s">
        <v>106</v>
      </c>
      <c r="C8" s="877" t="s">
        <v>8</v>
      </c>
      <c r="D8" s="553">
        <v>181</v>
      </c>
      <c r="E8" s="712" t="s">
        <v>7</v>
      </c>
      <c r="F8" s="553">
        <v>954</v>
      </c>
      <c r="G8" s="713" t="s">
        <v>7</v>
      </c>
      <c r="H8" s="543">
        <f>590.18+1.14</f>
        <v>591.31999999999994</v>
      </c>
      <c r="I8" s="221" t="s">
        <v>107</v>
      </c>
      <c r="J8" s="546">
        <f>670.3175+H8</f>
        <v>1261.6374999999998</v>
      </c>
      <c r="K8" s="714" t="s">
        <v>7</v>
      </c>
      <c r="L8" s="553">
        <v>105.6852524</v>
      </c>
      <c r="M8" s="715" t="s">
        <v>107</v>
      </c>
      <c r="N8" s="553">
        <v>475.3648263</v>
      </c>
      <c r="O8" s="716" t="s">
        <v>107</v>
      </c>
      <c r="P8" s="717">
        <f t="shared" ref="P8:P17" si="3">L8*1.115</f>
        <v>117.839056426</v>
      </c>
      <c r="Q8" s="563">
        <v>0.19500000000000001</v>
      </c>
      <c r="R8" s="553">
        <v>1669.665888</v>
      </c>
      <c r="S8" s="557">
        <v>7251.3957010000004</v>
      </c>
      <c r="U8" s="621">
        <v>3.7999999999999999E-2</v>
      </c>
      <c r="V8" s="607">
        <f t="shared" ref="V8:V13" si="4">R8*$AE$8</f>
        <v>1861.6774651200001</v>
      </c>
      <c r="W8" s="608">
        <f t="shared" ref="W8:W13" si="5">U8*$AF$8</f>
        <v>4.3091999999999998E-2</v>
      </c>
      <c r="X8" s="176"/>
      <c r="Y8" s="391">
        <v>2</v>
      </c>
      <c r="Z8" s="391" t="s">
        <v>104</v>
      </c>
      <c r="AA8" s="391" t="s">
        <v>24</v>
      </c>
      <c r="AB8" s="392">
        <v>0.115</v>
      </c>
      <c r="AC8" s="392">
        <v>0.13400000000000001</v>
      </c>
      <c r="AD8" s="392">
        <v>1.4999999999999999E-2</v>
      </c>
      <c r="AE8" s="562">
        <f t="shared" si="0"/>
        <v>1.115</v>
      </c>
      <c r="AF8" s="562">
        <f t="shared" si="1"/>
        <v>1.1339999999999999</v>
      </c>
      <c r="AG8" s="562">
        <f t="shared" si="2"/>
        <v>1.0149999999999999</v>
      </c>
    </row>
    <row r="9" spans="1:33" x14ac:dyDescent="0.35">
      <c r="B9" s="886"/>
      <c r="C9" s="175" t="s">
        <v>9</v>
      </c>
      <c r="D9" s="554">
        <v>732</v>
      </c>
      <c r="E9" s="718" t="s">
        <v>7</v>
      </c>
      <c r="F9" s="554">
        <v>2575</v>
      </c>
      <c r="G9" s="719" t="s">
        <v>7</v>
      </c>
      <c r="H9" s="543">
        <f>420.99+1</f>
        <v>421.99</v>
      </c>
      <c r="I9" s="223" t="s">
        <v>107</v>
      </c>
      <c r="J9" s="547">
        <f>913.4532+H9</f>
        <v>1335.4432000000002</v>
      </c>
      <c r="K9" s="720" t="s">
        <v>7</v>
      </c>
      <c r="L9" s="554">
        <v>87.566236200000006</v>
      </c>
      <c r="M9" s="721" t="s">
        <v>107</v>
      </c>
      <c r="N9" s="554">
        <v>321.65907079999999</v>
      </c>
      <c r="O9" s="722" t="s">
        <v>107</v>
      </c>
      <c r="P9" s="723">
        <f t="shared" si="3"/>
        <v>97.636353363000012</v>
      </c>
      <c r="Q9" s="564">
        <v>3.7999999999999999E-2</v>
      </c>
      <c r="R9" s="554">
        <v>982.47224949999998</v>
      </c>
      <c r="S9" s="558">
        <v>3567.8787510000002</v>
      </c>
      <c r="U9" s="609">
        <v>0.01</v>
      </c>
      <c r="V9" s="607">
        <f t="shared" si="4"/>
        <v>1095.4565581924999</v>
      </c>
      <c r="W9" s="608">
        <f t="shared" si="5"/>
        <v>1.1339999999999999E-2</v>
      </c>
      <c r="Y9" s="391">
        <v>3</v>
      </c>
      <c r="Z9" s="391" t="s">
        <v>104</v>
      </c>
      <c r="AA9" s="391" t="s">
        <v>108</v>
      </c>
      <c r="AB9" s="392">
        <v>0.115</v>
      </c>
      <c r="AC9" s="392">
        <v>0.13400000000000001</v>
      </c>
      <c r="AD9" s="392">
        <v>1.4999999999999999E-2</v>
      </c>
      <c r="AE9" s="562">
        <f t="shared" si="0"/>
        <v>1.115</v>
      </c>
      <c r="AF9" s="562">
        <f t="shared" si="1"/>
        <v>1.1339999999999999</v>
      </c>
      <c r="AG9" s="562">
        <f t="shared" si="2"/>
        <v>1.0149999999999999</v>
      </c>
    </row>
    <row r="10" spans="1:33" x14ac:dyDescent="0.35">
      <c r="B10" s="886"/>
      <c r="C10" s="175" t="s">
        <v>10</v>
      </c>
      <c r="D10" s="554">
        <v>410</v>
      </c>
      <c r="E10" s="718" t="s">
        <v>7</v>
      </c>
      <c r="F10" s="554">
        <v>1403</v>
      </c>
      <c r="G10" s="719" t="s">
        <v>7</v>
      </c>
      <c r="H10" s="544">
        <f>187.94+0.99</f>
        <v>188.93</v>
      </c>
      <c r="I10" s="225" t="s">
        <v>107</v>
      </c>
      <c r="J10" s="548">
        <f>385.92363+H10</f>
        <v>574.85363000000007</v>
      </c>
      <c r="K10" s="724" t="s">
        <v>7</v>
      </c>
      <c r="L10" s="554">
        <v>458.88</v>
      </c>
      <c r="M10" s="721" t="s">
        <v>107</v>
      </c>
      <c r="N10" s="554">
        <v>1550.1489999999999</v>
      </c>
      <c r="O10" s="722" t="s">
        <v>107</v>
      </c>
      <c r="P10" s="723">
        <f t="shared" si="3"/>
        <v>511.65120000000002</v>
      </c>
      <c r="Q10" s="564">
        <v>0.249</v>
      </c>
      <c r="R10" s="554">
        <v>0</v>
      </c>
      <c r="S10" s="558">
        <v>0</v>
      </c>
      <c r="U10" s="621">
        <v>7.3999999999999996E-2</v>
      </c>
      <c r="V10" s="607">
        <f t="shared" si="4"/>
        <v>0</v>
      </c>
      <c r="W10" s="608">
        <f t="shared" si="5"/>
        <v>8.3915999999999991E-2</v>
      </c>
      <c r="Y10" s="391">
        <v>4</v>
      </c>
      <c r="Z10" s="391" t="s">
        <v>104</v>
      </c>
      <c r="AA10" s="391" t="s">
        <v>109</v>
      </c>
      <c r="AB10" s="392">
        <v>0.115</v>
      </c>
      <c r="AC10" s="392">
        <v>0.13400000000000001</v>
      </c>
      <c r="AD10" s="392">
        <v>1.4999999999999999E-2</v>
      </c>
      <c r="AE10" s="562">
        <f t="shared" si="0"/>
        <v>1.115</v>
      </c>
      <c r="AF10" s="562">
        <f t="shared" si="1"/>
        <v>1.1339999999999999</v>
      </c>
      <c r="AG10" s="562">
        <f t="shared" si="2"/>
        <v>1.0149999999999999</v>
      </c>
    </row>
    <row r="11" spans="1:33" x14ac:dyDescent="0.35">
      <c r="B11" s="886"/>
      <c r="C11" s="175" t="s">
        <v>11</v>
      </c>
      <c r="D11" s="556">
        <v>446</v>
      </c>
      <c r="E11" s="718" t="s">
        <v>7</v>
      </c>
      <c r="F11" s="556">
        <v>1912</v>
      </c>
      <c r="G11" s="719" t="s">
        <v>7</v>
      </c>
      <c r="H11" s="544">
        <v>75.5</v>
      </c>
      <c r="I11" s="225" t="s">
        <v>107</v>
      </c>
      <c r="J11" s="548">
        <f>199.90569+H11</f>
        <v>275.40568999999999</v>
      </c>
      <c r="K11" s="724" t="s">
        <v>7</v>
      </c>
      <c r="L11" s="556">
        <v>63</v>
      </c>
      <c r="M11" s="721" t="s">
        <v>7</v>
      </c>
      <c r="N11" s="556">
        <v>267</v>
      </c>
      <c r="O11" s="722" t="s">
        <v>107</v>
      </c>
      <c r="P11" s="723">
        <f t="shared" si="3"/>
        <v>70.245000000000005</v>
      </c>
      <c r="Q11" s="665">
        <v>4.8025999999999999E-2</v>
      </c>
      <c r="R11" s="556">
        <v>535</v>
      </c>
      <c r="S11" s="559">
        <v>2350</v>
      </c>
      <c r="U11" s="609"/>
      <c r="V11" s="607">
        <f t="shared" si="4"/>
        <v>596.52499999999998</v>
      </c>
      <c r="W11" s="608">
        <f t="shared" si="5"/>
        <v>0</v>
      </c>
      <c r="X11" s="176"/>
      <c r="Y11" s="391">
        <v>5</v>
      </c>
      <c r="Z11" s="391" t="s">
        <v>110</v>
      </c>
      <c r="AA11" s="391" t="s">
        <v>15</v>
      </c>
      <c r="AB11" s="392">
        <v>0.115</v>
      </c>
      <c r="AC11" s="392">
        <v>0.13400000000000001</v>
      </c>
      <c r="AD11" s="392">
        <v>1.4999999999999999E-2</v>
      </c>
      <c r="AE11" s="562">
        <f t="shared" si="0"/>
        <v>1.115</v>
      </c>
      <c r="AF11" s="562">
        <f t="shared" si="1"/>
        <v>1.1339999999999999</v>
      </c>
      <c r="AG11" s="562">
        <f t="shared" si="2"/>
        <v>1.0149999999999999</v>
      </c>
    </row>
    <row r="12" spans="1:33" x14ac:dyDescent="0.35">
      <c r="B12" s="886"/>
      <c r="C12" s="78" t="s">
        <v>12</v>
      </c>
      <c r="D12" s="554">
        <v>9327</v>
      </c>
      <c r="E12" s="725" t="s">
        <v>7</v>
      </c>
      <c r="F12" s="554">
        <v>29487</v>
      </c>
      <c r="G12" s="719" t="s">
        <v>7</v>
      </c>
      <c r="H12" s="544"/>
      <c r="I12" s="225" t="s">
        <v>107</v>
      </c>
      <c r="J12" s="548">
        <v>0</v>
      </c>
      <c r="K12" s="724" t="s">
        <v>7</v>
      </c>
      <c r="L12" s="554">
        <v>2522.4800617000001</v>
      </c>
      <c r="M12" s="721" t="s">
        <v>107</v>
      </c>
      <c r="N12" s="554">
        <v>6255.9610839999996</v>
      </c>
      <c r="O12" s="722" t="s">
        <v>107</v>
      </c>
      <c r="P12" s="721">
        <f t="shared" si="3"/>
        <v>2812.5652687955003</v>
      </c>
      <c r="Q12" s="564">
        <v>0.74399999999999999</v>
      </c>
      <c r="R12" s="554">
        <v>31125.4917255</v>
      </c>
      <c r="S12" s="558">
        <v>86492.118709999995</v>
      </c>
      <c r="U12" s="621">
        <v>0.22900000000000001</v>
      </c>
      <c r="V12" s="607">
        <f t="shared" si="4"/>
        <v>34704.923273932502</v>
      </c>
      <c r="W12" s="608">
        <f t="shared" si="5"/>
        <v>0.25968599999999997</v>
      </c>
      <c r="Y12" s="391">
        <v>6</v>
      </c>
      <c r="Z12" s="391" t="s">
        <v>111</v>
      </c>
      <c r="AA12" s="391" t="s">
        <v>23</v>
      </c>
      <c r="AB12" s="392">
        <v>0.115</v>
      </c>
      <c r="AC12" s="392">
        <v>0.13400000000000001</v>
      </c>
      <c r="AD12" s="392">
        <v>1.4999999999999999E-2</v>
      </c>
      <c r="AE12" s="562">
        <f t="shared" si="0"/>
        <v>1.115</v>
      </c>
      <c r="AF12" s="562">
        <f t="shared" si="1"/>
        <v>1.1339999999999999</v>
      </c>
      <c r="AG12" s="562">
        <f t="shared" si="2"/>
        <v>1.0149999999999999</v>
      </c>
    </row>
    <row r="13" spans="1:33" ht="15" thickBot="1" x14ac:dyDescent="0.4">
      <c r="B13" s="886"/>
      <c r="C13" s="351" t="s">
        <v>13</v>
      </c>
      <c r="D13" s="555">
        <v>51322</v>
      </c>
      <c r="E13" s="726" t="s">
        <v>7</v>
      </c>
      <c r="F13" s="555">
        <v>132560</v>
      </c>
      <c r="G13" s="727" t="s">
        <v>7</v>
      </c>
      <c r="H13" s="545">
        <f>240.08+1</f>
        <v>241.08</v>
      </c>
      <c r="I13" s="228" t="s">
        <v>107</v>
      </c>
      <c r="J13" s="549">
        <f>455.91483+H13</f>
        <v>696.99482999999998</v>
      </c>
      <c r="K13" s="728" t="s">
        <v>7</v>
      </c>
      <c r="L13" s="555">
        <v>7927.4096903999998</v>
      </c>
      <c r="M13" s="729" t="s">
        <v>107</v>
      </c>
      <c r="N13" s="555">
        <v>20062.335330000002</v>
      </c>
      <c r="O13" s="730" t="s">
        <v>107</v>
      </c>
      <c r="P13" s="731">
        <f t="shared" si="3"/>
        <v>8839.0618047959997</v>
      </c>
      <c r="Q13" s="565">
        <v>1.504</v>
      </c>
      <c r="R13" s="555">
        <v>118911.14535599999</v>
      </c>
      <c r="S13" s="711">
        <v>300935.02990000002</v>
      </c>
      <c r="U13" s="635">
        <v>0.59399999999999997</v>
      </c>
      <c r="V13" s="633">
        <f t="shared" si="4"/>
        <v>132585.92707193998</v>
      </c>
      <c r="W13" s="634">
        <f t="shared" si="5"/>
        <v>0.67359599999999986</v>
      </c>
      <c r="Y13" s="391">
        <v>7</v>
      </c>
      <c r="Z13" s="391" t="s">
        <v>4</v>
      </c>
      <c r="AA13" s="391" t="s">
        <v>112</v>
      </c>
      <c r="AB13" s="392">
        <v>9.0999999999999998E-2</v>
      </c>
      <c r="AC13" s="392">
        <v>0.113</v>
      </c>
      <c r="AD13" s="392">
        <v>1.4999999999999999E-2</v>
      </c>
      <c r="AE13" s="562">
        <f t="shared" si="0"/>
        <v>1.091</v>
      </c>
      <c r="AF13" s="562">
        <f t="shared" si="1"/>
        <v>1.113</v>
      </c>
      <c r="AG13" s="562">
        <f t="shared" si="2"/>
        <v>1.0149999999999999</v>
      </c>
    </row>
    <row r="14" spans="1:33" ht="15" thickBot="1" x14ac:dyDescent="0.4">
      <c r="B14" s="872"/>
      <c r="C14" s="646" t="s">
        <v>113</v>
      </c>
      <c r="D14" s="230">
        <f>SUM(D8:D13)</f>
        <v>62418</v>
      </c>
      <c r="E14" s="231">
        <v>81204</v>
      </c>
      <c r="F14" s="231">
        <f>SUM(F8:F13)</f>
        <v>168891</v>
      </c>
      <c r="G14" s="232">
        <f>F14/E14</f>
        <v>2.0798359686714942</v>
      </c>
      <c r="H14" s="233">
        <f>SUM(H8:H13)</f>
        <v>1518.82</v>
      </c>
      <c r="I14" s="234">
        <v>5012.5690000000004</v>
      </c>
      <c r="J14" s="234">
        <f>SUM(J8:J13)</f>
        <v>4144.3348500000002</v>
      </c>
      <c r="K14" s="235">
        <f>J14/I14</f>
        <v>0.82678858884536055</v>
      </c>
      <c r="L14" s="236">
        <f>SUM(L8:L13)</f>
        <v>11165.0212407</v>
      </c>
      <c r="M14" s="237">
        <v>11595.373</v>
      </c>
      <c r="N14" s="237">
        <f>SUM(N8:N13)</f>
        <v>28932.469311100002</v>
      </c>
      <c r="O14" s="647">
        <f>N14/M14</f>
        <v>2.4951736620374354</v>
      </c>
      <c r="P14" s="237">
        <f t="shared" si="3"/>
        <v>12448.9986833805</v>
      </c>
      <c r="Q14" s="648">
        <f>SUM(Q8:Q13)</f>
        <v>2.7780260000000001</v>
      </c>
      <c r="R14" s="649">
        <f>SUM(R8:R13)</f>
        <v>153223.775219</v>
      </c>
      <c r="S14" s="650">
        <f>SUM(S8:S13)</f>
        <v>400596.42306200002</v>
      </c>
      <c r="U14" s="639">
        <f>SUM(U8:U13)</f>
        <v>0.94499999999999995</v>
      </c>
      <c r="V14" s="620">
        <f>SUM(V8:V13)</f>
        <v>170844.50936918499</v>
      </c>
      <c r="W14" s="627">
        <f>SUM(W8:W13)</f>
        <v>1.0716299999999999</v>
      </c>
      <c r="X14" s="176"/>
      <c r="Y14" s="391">
        <v>8</v>
      </c>
      <c r="Z14" s="391" t="s">
        <v>4</v>
      </c>
      <c r="AA14" s="391" t="s">
        <v>114</v>
      </c>
      <c r="AB14" s="392">
        <v>6.9000000000000006E-2</v>
      </c>
      <c r="AC14" s="392">
        <v>8.6999999999999994E-2</v>
      </c>
      <c r="AD14" s="392">
        <v>1.4999999999999999E-2</v>
      </c>
      <c r="AE14" s="562">
        <f t="shared" si="0"/>
        <v>1.069</v>
      </c>
      <c r="AF14" s="562">
        <f t="shared" si="1"/>
        <v>1.087</v>
      </c>
      <c r="AG14" s="562">
        <f t="shared" si="2"/>
        <v>1.0149999999999999</v>
      </c>
    </row>
    <row r="15" spans="1:33" ht="21" customHeight="1" x14ac:dyDescent="0.35">
      <c r="B15" s="885" t="s">
        <v>25</v>
      </c>
      <c r="C15" s="873" t="s">
        <v>115</v>
      </c>
      <c r="D15" s="484">
        <v>0</v>
      </c>
      <c r="E15" s="666">
        <v>281</v>
      </c>
      <c r="F15" s="486">
        <v>42</v>
      </c>
      <c r="G15" s="667">
        <f>F15/E15</f>
        <v>0.1494661921708185</v>
      </c>
      <c r="H15" s="535">
        <f>344+2.51</f>
        <v>346.51</v>
      </c>
      <c r="I15" s="668">
        <v>2943.2649999999999</v>
      </c>
      <c r="J15" s="539">
        <f>603.37778+H15</f>
        <v>949.88778000000002</v>
      </c>
      <c r="K15" s="669">
        <f>J15/I15</f>
        <v>0.32273267272909512</v>
      </c>
      <c r="L15" s="488">
        <v>0</v>
      </c>
      <c r="M15" s="670">
        <v>626.90599999999995</v>
      </c>
      <c r="N15" s="486">
        <v>38</v>
      </c>
      <c r="O15" s="671">
        <f>N15/M15</f>
        <v>6.0615148044523427E-2</v>
      </c>
      <c r="P15" s="212">
        <f t="shared" si="3"/>
        <v>0</v>
      </c>
      <c r="Q15" s="659">
        <v>0</v>
      </c>
      <c r="R15" s="486">
        <v>0</v>
      </c>
      <c r="S15" s="660">
        <v>999</v>
      </c>
      <c r="T15" s="567"/>
      <c r="U15" s="636">
        <v>0</v>
      </c>
      <c r="V15" s="637">
        <f>R15*$AE$10</f>
        <v>0</v>
      </c>
      <c r="W15" s="638">
        <f>U15*$AF$10</f>
        <v>0</v>
      </c>
      <c r="Y15" s="391">
        <v>9</v>
      </c>
      <c r="Z15" s="391" t="s">
        <v>4</v>
      </c>
      <c r="AA15" s="391" t="s">
        <v>116</v>
      </c>
      <c r="AB15" s="392">
        <v>9.9000000000000005E-2</v>
      </c>
      <c r="AC15" s="392">
        <v>0.121</v>
      </c>
      <c r="AD15" s="392">
        <v>1.4999999999999999E-2</v>
      </c>
      <c r="AE15" s="562">
        <f t="shared" si="0"/>
        <v>1.099</v>
      </c>
      <c r="AF15" s="562">
        <f t="shared" si="1"/>
        <v>1.121</v>
      </c>
      <c r="AG15" s="562">
        <f t="shared" si="2"/>
        <v>1.0149999999999999</v>
      </c>
    </row>
    <row r="16" spans="1:33" ht="21.75" customHeight="1" x14ac:dyDescent="0.35">
      <c r="B16" s="886"/>
      <c r="C16" s="165" t="s">
        <v>117</v>
      </c>
      <c r="D16" s="598">
        <v>2733</v>
      </c>
      <c r="E16" s="732">
        <v>6500</v>
      </c>
      <c r="F16" s="600">
        <v>2990</v>
      </c>
      <c r="G16" s="672">
        <f>F16/E16</f>
        <v>0.46</v>
      </c>
      <c r="H16" s="536">
        <f>164.88+1.83</f>
        <v>166.71</v>
      </c>
      <c r="I16" s="673">
        <v>3681.07</v>
      </c>
      <c r="J16" s="540">
        <f>352.17347+H16</f>
        <v>518.88346999999999</v>
      </c>
      <c r="K16" s="674">
        <f>J16/I16</f>
        <v>0.14095995729502561</v>
      </c>
      <c r="L16" s="489">
        <v>1290.346093674</v>
      </c>
      <c r="M16" s="675">
        <v>6835.1059999999998</v>
      </c>
      <c r="N16" s="492">
        <v>1419.6307429999999</v>
      </c>
      <c r="O16" s="676">
        <f>N16/M16</f>
        <v>0.2076969608079231</v>
      </c>
      <c r="P16" s="677">
        <f t="shared" si="3"/>
        <v>1438.73589444651</v>
      </c>
      <c r="Q16" s="661">
        <v>0.1</v>
      </c>
      <c r="R16" s="492">
        <v>17358.318728212998</v>
      </c>
      <c r="S16" s="662">
        <v>19080.201929999999</v>
      </c>
      <c r="T16" s="567"/>
      <c r="U16" s="642">
        <v>9.1999999999999998E-2</v>
      </c>
      <c r="V16" s="607">
        <f>R16*$AE$9</f>
        <v>19354.525381957494</v>
      </c>
      <c r="W16" s="608">
        <f>U16*$AF$9</f>
        <v>0.10432799999999999</v>
      </c>
      <c r="Y16" s="391">
        <v>10</v>
      </c>
      <c r="Z16" s="391" t="s">
        <v>4</v>
      </c>
      <c r="AA16" s="391" t="s">
        <v>118</v>
      </c>
      <c r="AB16" s="392">
        <v>7.6999999999999999E-2</v>
      </c>
      <c r="AC16" s="392">
        <v>9.1999999999999998E-2</v>
      </c>
      <c r="AD16" s="392">
        <v>1.4999999999999999E-2</v>
      </c>
      <c r="AE16" s="562">
        <f t="shared" si="0"/>
        <v>1.077</v>
      </c>
      <c r="AF16" s="562">
        <f t="shared" si="1"/>
        <v>1.0920000000000001</v>
      </c>
      <c r="AG16" s="562">
        <f t="shared" si="2"/>
        <v>1.0149999999999999</v>
      </c>
    </row>
    <row r="17" spans="2:38" ht="21.75" customHeight="1" thickBot="1" x14ac:dyDescent="0.4">
      <c r="B17" s="886"/>
      <c r="C17" s="874" t="s">
        <v>15</v>
      </c>
      <c r="D17" s="485">
        <v>0</v>
      </c>
      <c r="E17" s="678">
        <v>450</v>
      </c>
      <c r="F17" s="487">
        <v>107</v>
      </c>
      <c r="G17" s="679">
        <f>F17/E17</f>
        <v>0.23777777777777778</v>
      </c>
      <c r="H17" s="537">
        <f>135.28+1.96</f>
        <v>137.24</v>
      </c>
      <c r="I17" s="680">
        <v>4214.8360000000002</v>
      </c>
      <c r="J17" s="541">
        <f>504.42918+H17</f>
        <v>641.66917999999998</v>
      </c>
      <c r="K17" s="681">
        <f>J17/I17</f>
        <v>0.15224060437938747</v>
      </c>
      <c r="L17" s="490">
        <v>0</v>
      </c>
      <c r="M17" s="682">
        <v>824.19899999999996</v>
      </c>
      <c r="N17" s="601">
        <v>109.40472579999999</v>
      </c>
      <c r="O17" s="683">
        <f>N17/M17</f>
        <v>0.13274066796975004</v>
      </c>
      <c r="P17" s="682">
        <f t="shared" si="3"/>
        <v>0</v>
      </c>
      <c r="Q17" s="663">
        <v>7.0000000000000001E-3</v>
      </c>
      <c r="R17" s="601">
        <v>0</v>
      </c>
      <c r="S17" s="664">
        <v>1363.4003029999999</v>
      </c>
      <c r="T17" s="567"/>
      <c r="U17" s="622">
        <v>0</v>
      </c>
      <c r="V17" s="607">
        <f>R17*$AE$11</f>
        <v>0</v>
      </c>
      <c r="W17" s="608">
        <f>U17*$AF$11</f>
        <v>0</v>
      </c>
      <c r="Y17" s="391">
        <v>11</v>
      </c>
      <c r="Z17" s="391" t="s">
        <v>119</v>
      </c>
      <c r="AA17" s="391" t="s">
        <v>120</v>
      </c>
      <c r="AB17" s="392">
        <v>0.115</v>
      </c>
      <c r="AC17" s="392">
        <v>0.13400000000000001</v>
      </c>
      <c r="AD17" s="392">
        <v>1.4999999999999999E-2</v>
      </c>
      <c r="AE17" s="562">
        <f t="shared" si="0"/>
        <v>1.115</v>
      </c>
      <c r="AF17" s="562">
        <f t="shared" si="1"/>
        <v>1.1339999999999999</v>
      </c>
      <c r="AG17" s="562">
        <f t="shared" si="2"/>
        <v>1.0149999999999999</v>
      </c>
    </row>
    <row r="18" spans="2:38" ht="29.5" thickBot="1" x14ac:dyDescent="0.4">
      <c r="B18" s="35" t="s">
        <v>26</v>
      </c>
      <c r="C18" s="166" t="s">
        <v>121</v>
      </c>
      <c r="D18" s="550">
        <f>'[54]Q3ACE BPU '!$F$18</f>
        <v>227665</v>
      </c>
      <c r="E18" s="684" t="s">
        <v>122</v>
      </c>
      <c r="F18" s="551">
        <f>'[54]Q3ACE BPU '!$F$18</f>
        <v>227665</v>
      </c>
      <c r="G18" s="685" t="s">
        <v>7</v>
      </c>
      <c r="H18" s="538">
        <f>138.92</f>
        <v>138.91999999999999</v>
      </c>
      <c r="I18" s="686" t="s">
        <v>123</v>
      </c>
      <c r="J18" s="542">
        <f>1.48493+H18</f>
        <v>140.40492999999998</v>
      </c>
      <c r="K18" s="687" t="s">
        <v>7</v>
      </c>
      <c r="L18" s="552">
        <f>'[54]Q3ACE BPU '!$L$18</f>
        <v>1765.7729787230001</v>
      </c>
      <c r="M18" s="688" t="s">
        <v>122</v>
      </c>
      <c r="N18" s="603">
        <f>'[54]Q3ACE BPU '!$N$18</f>
        <v>7397.0412357880004</v>
      </c>
      <c r="O18" s="689" t="s">
        <v>7</v>
      </c>
      <c r="P18" s="688">
        <f>Q18</f>
        <v>2.2931459595564516</v>
      </c>
      <c r="Q18" s="644">
        <f>'[54]Q3ACE BPU '!$Q$18</f>
        <v>2.2931459595564516</v>
      </c>
      <c r="R18" s="603">
        <f>'[54]Q3ACE BPU '!$R$18</f>
        <v>1765.7729787230001</v>
      </c>
      <c r="S18" s="645">
        <f>'[54]Q3ACE BPU '!$S$18</f>
        <v>7397.0412357880004</v>
      </c>
      <c r="U18" s="628"/>
      <c r="V18" s="633">
        <f>R18*$AE$7</f>
        <v>1968.8368712761451</v>
      </c>
      <c r="W18" s="634">
        <f>U18*$AF$7</f>
        <v>0</v>
      </c>
    </row>
    <row r="19" spans="2:38" ht="15" thickBot="1" x14ac:dyDescent="0.4">
      <c r="B19" s="50" t="s">
        <v>124</v>
      </c>
      <c r="C19" s="53"/>
      <c r="D19" s="111">
        <f>SUM(D14:D18)</f>
        <v>292816</v>
      </c>
      <c r="E19" s="112">
        <f>SUM(E14:E18)</f>
        <v>88435</v>
      </c>
      <c r="F19" s="112">
        <f>SUM(F14:F18)</f>
        <v>399695</v>
      </c>
      <c r="G19" s="93">
        <f>F19/E19</f>
        <v>4.5196471985073785</v>
      </c>
      <c r="H19" s="151">
        <f>SUM(H14:H18)</f>
        <v>2308.1999999999998</v>
      </c>
      <c r="I19" s="152">
        <f>SUM(I14:I18)</f>
        <v>15851.740000000002</v>
      </c>
      <c r="J19" s="152">
        <f>SUM(J14:J18)</f>
        <v>6395.1802099999995</v>
      </c>
      <c r="K19" s="250">
        <f>J19/I19</f>
        <v>0.40343711226653978</v>
      </c>
      <c r="L19" s="111">
        <f>SUM(L14:L18)</f>
        <v>14221.140313096999</v>
      </c>
      <c r="M19" s="112">
        <f>SUM(M14:M18)</f>
        <v>19881.583999999999</v>
      </c>
      <c r="N19" s="145">
        <f>SUM(N14:N18)</f>
        <v>37896.546015688</v>
      </c>
      <c r="O19" s="104">
        <f>N19/M19</f>
        <v>1.9061130147219658</v>
      </c>
      <c r="P19" s="145">
        <f>SUM(P14:P18)</f>
        <v>13890.027723786567</v>
      </c>
      <c r="Q19" s="181">
        <f>SUM(Q14:Q18)</f>
        <v>5.1781719595564519</v>
      </c>
      <c r="R19" s="112">
        <f>SUM(R14:R18)</f>
        <v>172347.86692593599</v>
      </c>
      <c r="S19" s="168">
        <f>SUM(S14:S18)</f>
        <v>429436.06653078803</v>
      </c>
      <c r="T19" s="569"/>
      <c r="U19" s="627">
        <f>SUM(U14:U18)</f>
        <v>1.0369999999999999</v>
      </c>
      <c r="V19" s="620">
        <f>SUM(V14:V18)</f>
        <v>192167.87162241864</v>
      </c>
      <c r="W19" s="627">
        <f>SUM(W14:W18)</f>
        <v>1.1759579999999998</v>
      </c>
    </row>
    <row r="20" spans="2:38" ht="15" thickBot="1" x14ac:dyDescent="0.4">
      <c r="B20" s="16"/>
      <c r="C20" s="55"/>
      <c r="D20" s="113"/>
      <c r="E20" s="114"/>
      <c r="F20" s="114"/>
      <c r="G20" s="94"/>
      <c r="H20" s="83"/>
      <c r="I20" s="84"/>
      <c r="J20" s="84"/>
      <c r="K20" s="251"/>
      <c r="L20" s="113"/>
      <c r="M20" s="114"/>
      <c r="N20" s="146"/>
      <c r="O20" s="105"/>
      <c r="P20" s="146"/>
      <c r="Q20" s="182"/>
      <c r="R20" s="114"/>
      <c r="S20" s="252"/>
      <c r="T20" s="42"/>
      <c r="U20" s="626"/>
      <c r="V20" s="626"/>
      <c r="W20" s="632"/>
    </row>
    <row r="21" spans="2:38" ht="15" thickBot="1" x14ac:dyDescent="0.4">
      <c r="B21" s="54" t="s">
        <v>125</v>
      </c>
      <c r="C21" s="52" t="s">
        <v>42</v>
      </c>
      <c r="D21" s="115"/>
      <c r="E21" s="116"/>
      <c r="F21" s="116"/>
      <c r="G21" s="95"/>
      <c r="H21" s="86"/>
      <c r="I21" s="87"/>
      <c r="J21" s="87"/>
      <c r="K21" s="253"/>
      <c r="L21" s="115"/>
      <c r="M21" s="116"/>
      <c r="N21" s="147"/>
      <c r="O21" s="106"/>
      <c r="P21" s="147"/>
      <c r="Q21" s="183"/>
      <c r="R21" s="116"/>
      <c r="S21" s="254"/>
      <c r="T21" s="569"/>
      <c r="U21" s="610"/>
      <c r="V21" s="610"/>
      <c r="W21" s="611"/>
    </row>
    <row r="22" spans="2:38" ht="15" thickBot="1" x14ac:dyDescent="0.4">
      <c r="B22" s="48" t="s">
        <v>17</v>
      </c>
      <c r="C22" s="871" t="s">
        <v>126</v>
      </c>
      <c r="D22" s="514">
        <v>1</v>
      </c>
      <c r="E22" s="688">
        <v>180</v>
      </c>
      <c r="F22" s="518">
        <v>1</v>
      </c>
      <c r="G22" s="690">
        <f>F22/E22</f>
        <v>5.5555555555555558E-3</v>
      </c>
      <c r="H22" s="522">
        <f>392.1+13.65</f>
        <v>405.75</v>
      </c>
      <c r="I22" s="691">
        <v>12369.521000000001</v>
      </c>
      <c r="J22" s="526">
        <f>959.27751+H22</f>
        <v>1365.0275099999999</v>
      </c>
      <c r="K22" s="692">
        <f>J22/I22</f>
        <v>0.11035411233789892</v>
      </c>
      <c r="L22" s="514">
        <v>19.804380900000002</v>
      </c>
      <c r="M22" s="688">
        <v>8363.3648321124692</v>
      </c>
      <c r="N22" s="592">
        <v>19.804380900000002</v>
      </c>
      <c r="O22" s="733">
        <f>N22/M22</f>
        <v>2.3679919861869388E-3</v>
      </c>
      <c r="P22" s="734">
        <f>L22*1.099</f>
        <v>21.765014609100003</v>
      </c>
      <c r="Q22" s="502">
        <v>3.0000000000000001E-3</v>
      </c>
      <c r="R22" s="503">
        <v>297.06571350000002</v>
      </c>
      <c r="S22" s="504">
        <v>297.06571350000002</v>
      </c>
      <c r="T22" s="567"/>
      <c r="U22" s="613">
        <v>3.0000000000000001E-3</v>
      </c>
      <c r="V22" s="614">
        <f>R22*$AE$15</f>
        <v>326.47521913650002</v>
      </c>
      <c r="W22" s="615">
        <f>U22*$AF$15</f>
        <v>3.3630000000000001E-3</v>
      </c>
    </row>
    <row r="23" spans="2:38" ht="16.5" x14ac:dyDescent="0.35">
      <c r="B23" s="887" t="s">
        <v>19</v>
      </c>
      <c r="C23" s="877" t="s">
        <v>127</v>
      </c>
      <c r="D23" s="515">
        <v>72</v>
      </c>
      <c r="E23" s="693">
        <v>126542</v>
      </c>
      <c r="F23" s="519">
        <v>222</v>
      </c>
      <c r="G23" s="694">
        <f>F23/E23</f>
        <v>1.7543582367909468E-3</v>
      </c>
      <c r="H23" s="523">
        <f>1851.22+4.81</f>
        <v>1856.03</v>
      </c>
      <c r="I23" s="695">
        <v>4062.402</v>
      </c>
      <c r="J23" s="527">
        <f>2373.59201+H23</f>
        <v>4229.62201</v>
      </c>
      <c r="K23" s="694">
        <f>J23/I23</f>
        <v>1.0411628415897787</v>
      </c>
      <c r="L23" s="515">
        <v>7158.7336193000001</v>
      </c>
      <c r="M23" s="693">
        <v>27604.255000000001</v>
      </c>
      <c r="N23" s="519">
        <v>14317.74977</v>
      </c>
      <c r="O23" s="735">
        <f>N23/M23</f>
        <v>0.51867908661182849</v>
      </c>
      <c r="P23" s="718">
        <f>L23*1.091</f>
        <v>7810.1783786563001</v>
      </c>
      <c r="Q23" s="505">
        <v>2.48</v>
      </c>
      <c r="R23" s="506">
        <v>101631.9326148</v>
      </c>
      <c r="S23" s="507">
        <v>206993.01807200001</v>
      </c>
      <c r="T23" s="567"/>
      <c r="U23" s="612">
        <v>1.26</v>
      </c>
      <c r="V23" s="623">
        <f>R23*$AE$13</f>
        <v>110880.43848274679</v>
      </c>
      <c r="W23" s="624">
        <f>U23*$AF$13</f>
        <v>1.40238</v>
      </c>
    </row>
    <row r="24" spans="2:38" x14ac:dyDescent="0.35">
      <c r="B24" s="888"/>
      <c r="C24" s="878" t="s">
        <v>21</v>
      </c>
      <c r="D24" s="516">
        <v>1</v>
      </c>
      <c r="E24" s="675">
        <v>25</v>
      </c>
      <c r="F24" s="520">
        <v>1</v>
      </c>
      <c r="G24" s="696">
        <f>F24/E24</f>
        <v>0.04</v>
      </c>
      <c r="H24" s="524">
        <f>129.69+1.36</f>
        <v>131.05000000000001</v>
      </c>
      <c r="I24" s="697">
        <v>279.64699999999999</v>
      </c>
      <c r="J24" s="528">
        <f>272.70754+H24</f>
        <v>403.75754000000001</v>
      </c>
      <c r="K24" s="696">
        <f>J24/I24</f>
        <v>1.4438114480040909</v>
      </c>
      <c r="L24" s="516">
        <v>241</v>
      </c>
      <c r="M24" s="675">
        <v>800.52599999999995</v>
      </c>
      <c r="N24" s="593">
        <v>241</v>
      </c>
      <c r="O24" s="736">
        <f>N24/M24</f>
        <v>0.30105205827168641</v>
      </c>
      <c r="P24" s="725">
        <f>L24*1.077</f>
        <v>259.55700000000002</v>
      </c>
      <c r="Q24" s="508">
        <v>1.7000000000000001E-2</v>
      </c>
      <c r="R24" s="509">
        <v>2217.1999999999998</v>
      </c>
      <c r="S24" s="510">
        <v>2217.1999999999998</v>
      </c>
      <c r="T24" s="567"/>
      <c r="U24" s="613">
        <v>1.7000000000000001E-2</v>
      </c>
      <c r="V24" s="614">
        <f>R24*$AE$16</f>
        <v>2387.9243999999999</v>
      </c>
      <c r="W24" s="615">
        <f>U24*$AF$16</f>
        <v>1.8564000000000004E-2</v>
      </c>
    </row>
    <row r="25" spans="2:38" ht="15" thickBot="1" x14ac:dyDescent="0.4">
      <c r="B25" s="889"/>
      <c r="C25" s="77" t="s">
        <v>22</v>
      </c>
      <c r="D25" s="517">
        <v>0</v>
      </c>
      <c r="E25" s="698">
        <v>1</v>
      </c>
      <c r="F25" s="521">
        <v>0</v>
      </c>
      <c r="G25" s="699" t="s">
        <v>7</v>
      </c>
      <c r="H25" s="525">
        <f>236.51+0.18</f>
        <v>236.69</v>
      </c>
      <c r="I25" s="700">
        <v>1146.1969999999999</v>
      </c>
      <c r="J25" s="529">
        <f>400.3208+H25</f>
        <v>637.01080000000002</v>
      </c>
      <c r="K25" s="699">
        <f>J25/I25</f>
        <v>0.55576030996416859</v>
      </c>
      <c r="L25" s="517">
        <v>0</v>
      </c>
      <c r="M25" s="698">
        <v>607.87900000000002</v>
      </c>
      <c r="N25" s="512">
        <v>0</v>
      </c>
      <c r="O25" s="737">
        <f>N25/M25</f>
        <v>0</v>
      </c>
      <c r="P25" s="726">
        <f>L25*1.069</f>
        <v>0</v>
      </c>
      <c r="Q25" s="511">
        <v>0</v>
      </c>
      <c r="R25" s="512">
        <v>0</v>
      </c>
      <c r="S25" s="513">
        <v>0</v>
      </c>
      <c r="U25" s="616"/>
      <c r="V25" s="630">
        <f>R25*$AE$14</f>
        <v>0</v>
      </c>
      <c r="W25" s="631">
        <f>U25*$AF$14</f>
        <v>0</v>
      </c>
    </row>
    <row r="26" spans="2:38" s="9" customFormat="1" ht="15" thickBot="1" x14ac:dyDescent="0.4">
      <c r="B26" s="137" t="s">
        <v>128</v>
      </c>
      <c r="C26" s="137"/>
      <c r="D26" s="141">
        <f>SUM(D22:D25)</f>
        <v>74</v>
      </c>
      <c r="E26" s="141">
        <f>SUM(E22:E25)</f>
        <v>126748</v>
      </c>
      <c r="F26" s="141">
        <f>SUM(F22:F25)</f>
        <v>224</v>
      </c>
      <c r="G26" s="96">
        <f>F26/E26</f>
        <v>1.7672862688168649E-3</v>
      </c>
      <c r="H26" s="82">
        <f>SUM(H22:H25)</f>
        <v>2629.52</v>
      </c>
      <c r="I26" s="82">
        <f>SUM(I22:I25)</f>
        <v>17857.767000000003</v>
      </c>
      <c r="J26" s="82">
        <f>SUM(J22:J25)</f>
        <v>6635.4178599999996</v>
      </c>
      <c r="K26" s="250">
        <f>J26/I26</f>
        <v>0.37157041303092364</v>
      </c>
      <c r="L26" s="117">
        <f>SUM(L22:L25)</f>
        <v>7419.5380002000002</v>
      </c>
      <c r="M26" s="112">
        <f>SUM(M22:M25)</f>
        <v>37376.024832112467</v>
      </c>
      <c r="N26" s="112">
        <f>SUM(N22:N25)</f>
        <v>14578.5541509</v>
      </c>
      <c r="O26" s="104">
        <f>N26/M26</f>
        <v>0.39005095422492603</v>
      </c>
      <c r="P26" s="150">
        <f>SUM(P22:P25)</f>
        <v>8091.5003932653999</v>
      </c>
      <c r="Q26" s="181">
        <f>SUM(Q22:Q25)</f>
        <v>2.5</v>
      </c>
      <c r="R26" s="112">
        <f>SUM(R22:R25)</f>
        <v>104146.19832829999</v>
      </c>
      <c r="S26" s="168">
        <f>SUM(S22:S25)</f>
        <v>209507.28378550001</v>
      </c>
      <c r="T26" s="569"/>
      <c r="U26" s="627">
        <f>SUM(U22:U25)</f>
        <v>1.2799999999999998</v>
      </c>
      <c r="V26" s="620">
        <f>SUM(V22:V25)</f>
        <v>113594.83810188329</v>
      </c>
      <c r="W26" s="627">
        <f>SUM(W22:W25)</f>
        <v>1.424307</v>
      </c>
      <c r="X26"/>
      <c r="Y26"/>
      <c r="Z26"/>
      <c r="AA26"/>
      <c r="AB26"/>
      <c r="AC26"/>
      <c r="AD26"/>
      <c r="AE26"/>
      <c r="AF26"/>
      <c r="AG26"/>
      <c r="AH26"/>
      <c r="AI26"/>
      <c r="AJ26"/>
      <c r="AK26"/>
      <c r="AL26"/>
    </row>
    <row r="27" spans="2:38" ht="15" thickBot="1" x14ac:dyDescent="0.4">
      <c r="B27" s="56"/>
      <c r="C27" s="55"/>
      <c r="D27" s="118"/>
      <c r="E27" s="119"/>
      <c r="F27" s="119"/>
      <c r="G27" s="97"/>
      <c r="H27" s="88"/>
      <c r="I27" s="89"/>
      <c r="J27" s="89"/>
      <c r="K27" s="263"/>
      <c r="L27" s="118"/>
      <c r="M27" s="119"/>
      <c r="N27" s="119"/>
      <c r="O27" s="108"/>
      <c r="P27" s="119"/>
      <c r="Q27" s="184"/>
      <c r="R27" s="119"/>
      <c r="S27" s="299"/>
      <c r="T27" s="42"/>
      <c r="U27" s="626"/>
      <c r="V27" s="626"/>
      <c r="W27" s="632"/>
    </row>
    <row r="28" spans="2:38" x14ac:dyDescent="0.35">
      <c r="B28" s="890" t="s">
        <v>129</v>
      </c>
      <c r="C28" s="873" t="s">
        <v>45</v>
      </c>
      <c r="D28" s="498">
        <v>0</v>
      </c>
      <c r="E28" s="666" t="s">
        <v>7</v>
      </c>
      <c r="F28" s="486">
        <v>0</v>
      </c>
      <c r="G28" s="667" t="s">
        <v>7</v>
      </c>
      <c r="H28" s="530">
        <v>0</v>
      </c>
      <c r="I28" s="132" t="s">
        <v>7</v>
      </c>
      <c r="J28" s="532">
        <v>0</v>
      </c>
      <c r="K28" s="701" t="s">
        <v>7</v>
      </c>
      <c r="L28" s="484">
        <v>0</v>
      </c>
      <c r="M28" s="666" t="s">
        <v>7</v>
      </c>
      <c r="N28" s="491">
        <v>0</v>
      </c>
      <c r="O28" s="702" t="s">
        <v>7</v>
      </c>
      <c r="P28" s="212">
        <f>L28*1.115</f>
        <v>0</v>
      </c>
      <c r="Q28" s="493">
        <v>0</v>
      </c>
      <c r="R28" s="491">
        <v>0</v>
      </c>
      <c r="S28" s="494">
        <v>0</v>
      </c>
      <c r="T28" s="567"/>
      <c r="U28" s="618"/>
      <c r="V28" s="618">
        <f>R28*$AE$12</f>
        <v>0</v>
      </c>
      <c r="W28" s="619">
        <f>U28*$AF$12</f>
        <v>0</v>
      </c>
    </row>
    <row r="29" spans="2:38" x14ac:dyDescent="0.35">
      <c r="B29" s="891"/>
      <c r="C29" s="874" t="s">
        <v>18</v>
      </c>
      <c r="D29" s="499">
        <v>874</v>
      </c>
      <c r="E29" s="675" t="s">
        <v>7</v>
      </c>
      <c r="F29" s="492">
        <v>1237</v>
      </c>
      <c r="G29" s="703" t="s">
        <v>7</v>
      </c>
      <c r="H29" s="531">
        <v>0</v>
      </c>
      <c r="I29" s="133" t="s">
        <v>7</v>
      </c>
      <c r="J29" s="533">
        <v>0</v>
      </c>
      <c r="K29" s="696" t="s">
        <v>7</v>
      </c>
      <c r="L29" s="500">
        <v>418.02045340000001</v>
      </c>
      <c r="M29" s="675" t="s">
        <v>7</v>
      </c>
      <c r="N29" s="496">
        <v>687.29463269999997</v>
      </c>
      <c r="O29" s="704" t="s">
        <v>7</v>
      </c>
      <c r="P29" s="705">
        <f>L29*1.115</f>
        <v>466.09280554100002</v>
      </c>
      <c r="Q29" s="495">
        <v>2.9000000000000001E-2</v>
      </c>
      <c r="R29" s="496">
        <v>4955.4600904999998</v>
      </c>
      <c r="S29" s="497">
        <v>7901.8141260000002</v>
      </c>
      <c r="T29" s="567"/>
      <c r="U29" s="642">
        <v>1.7000000000000001E-2</v>
      </c>
      <c r="V29" s="618">
        <f>R29*$AE$12</f>
        <v>5525.3380009074999</v>
      </c>
      <c r="W29" s="619">
        <f>U29*$AF$12</f>
        <v>1.9278E-2</v>
      </c>
    </row>
    <row r="30" spans="2:38" x14ac:dyDescent="0.35">
      <c r="B30" s="891"/>
      <c r="C30" s="874" t="s">
        <v>130</v>
      </c>
      <c r="D30" s="499">
        <v>0</v>
      </c>
      <c r="E30" s="675" t="s">
        <v>7</v>
      </c>
      <c r="F30" s="492">
        <v>0</v>
      </c>
      <c r="G30" s="703" t="s">
        <v>7</v>
      </c>
      <c r="H30" s="531">
        <v>0</v>
      </c>
      <c r="I30" s="133" t="s">
        <v>7</v>
      </c>
      <c r="J30" s="533">
        <v>0</v>
      </c>
      <c r="K30" s="696" t="s">
        <v>7</v>
      </c>
      <c r="L30" s="500">
        <v>0</v>
      </c>
      <c r="M30" s="675" t="s">
        <v>7</v>
      </c>
      <c r="N30" s="496">
        <v>0</v>
      </c>
      <c r="O30" s="704" t="s">
        <v>7</v>
      </c>
      <c r="P30" s="705">
        <f>L30*1.115</f>
        <v>0</v>
      </c>
      <c r="Q30" s="495">
        <v>0</v>
      </c>
      <c r="R30" s="496">
        <v>0</v>
      </c>
      <c r="S30" s="497">
        <v>0</v>
      </c>
      <c r="T30" s="567"/>
      <c r="U30" s="618"/>
      <c r="V30" s="618">
        <f>R30*$AE$12</f>
        <v>0</v>
      </c>
      <c r="W30" s="619">
        <f>U30*$AF$12</f>
        <v>0</v>
      </c>
    </row>
    <row r="31" spans="2:38" ht="15" thickBot="1" x14ac:dyDescent="0.4">
      <c r="B31" s="891"/>
      <c r="C31" s="874" t="s">
        <v>22</v>
      </c>
      <c r="D31" s="499">
        <v>0</v>
      </c>
      <c r="E31" s="675" t="s">
        <v>7</v>
      </c>
      <c r="F31" s="492">
        <v>0</v>
      </c>
      <c r="G31" s="703" t="s">
        <v>7</v>
      </c>
      <c r="H31" s="531">
        <v>0</v>
      </c>
      <c r="I31" s="133" t="s">
        <v>7</v>
      </c>
      <c r="J31" s="533">
        <v>0</v>
      </c>
      <c r="K31" s="696" t="s">
        <v>7</v>
      </c>
      <c r="L31" s="500">
        <v>0</v>
      </c>
      <c r="M31" s="675" t="s">
        <v>7</v>
      </c>
      <c r="N31" s="496">
        <v>0</v>
      </c>
      <c r="O31" s="704" t="s">
        <v>7</v>
      </c>
      <c r="P31" s="705">
        <f>L31*1.115</f>
        <v>0</v>
      </c>
      <c r="Q31" s="495">
        <v>0</v>
      </c>
      <c r="R31" s="496">
        <v>0</v>
      </c>
      <c r="S31" s="497">
        <v>0</v>
      </c>
      <c r="T31" s="567"/>
      <c r="U31" s="625"/>
      <c r="V31" s="625">
        <f>R31*$AE$12</f>
        <v>0</v>
      </c>
      <c r="W31" s="628">
        <f>U31*$AF$12</f>
        <v>0</v>
      </c>
    </row>
    <row r="32" spans="2:38" ht="15" thickBot="1" x14ac:dyDescent="0.4">
      <c r="B32" s="134"/>
      <c r="C32" s="159" t="s">
        <v>131</v>
      </c>
      <c r="D32" s="154">
        <f>SUM(D28:D31)</f>
        <v>874</v>
      </c>
      <c r="E32" s="155">
        <v>2088</v>
      </c>
      <c r="F32" s="155">
        <f>SUM(F28:F31)</f>
        <v>1237</v>
      </c>
      <c r="G32" s="156">
        <f>F32/E32</f>
        <v>0.59243295019157083</v>
      </c>
      <c r="H32" s="706">
        <f>149.07+0.66</f>
        <v>149.72999999999999</v>
      </c>
      <c r="I32" s="187">
        <v>1364.884</v>
      </c>
      <c r="J32" s="187">
        <f>312.31705+H32</f>
        <v>462.04705000000001</v>
      </c>
      <c r="K32" s="707">
        <f>J32/I32</f>
        <v>0.33852477573185707</v>
      </c>
      <c r="L32" s="154">
        <f>SUM(L28:L31)</f>
        <v>418.02045340000001</v>
      </c>
      <c r="M32" s="155">
        <v>2298.1190000000001</v>
      </c>
      <c r="N32" s="158">
        <f>SUM(N28:N31)</f>
        <v>687.29463269999997</v>
      </c>
      <c r="O32" s="476">
        <f>N32/M32</f>
        <v>0.2990683392374372</v>
      </c>
      <c r="P32" s="160">
        <f>SUM(P28:P31)</f>
        <v>466.09280554100002</v>
      </c>
      <c r="Q32" s="180">
        <f>SUM(Q28:Q31)</f>
        <v>2.9000000000000001E-2</v>
      </c>
      <c r="R32" s="160">
        <f>SUM(R28:R31)</f>
        <v>4955.4600904999998</v>
      </c>
      <c r="S32" s="300">
        <f>SUM(S28:S31)</f>
        <v>7901.8141260000002</v>
      </c>
      <c r="T32" s="42"/>
      <c r="U32" s="629">
        <f>SUM(U28:U31)</f>
        <v>1.7000000000000001E-2</v>
      </c>
      <c r="V32" s="629">
        <f>SUM(V28:V31)</f>
        <v>5525.3380009074999</v>
      </c>
      <c r="W32" s="629">
        <f>SUM(W28:W31)</f>
        <v>1.9278E-2</v>
      </c>
    </row>
    <row r="33" spans="2:34" ht="15" thickBot="1" x14ac:dyDescent="0.4">
      <c r="B33" s="56"/>
      <c r="C33" s="55"/>
      <c r="D33" s="118"/>
      <c r="E33" s="119"/>
      <c r="F33" s="119"/>
      <c r="G33" s="97"/>
      <c r="H33" s="189"/>
      <c r="I33" s="190"/>
      <c r="J33" s="190"/>
      <c r="K33" s="265"/>
      <c r="L33" s="118"/>
      <c r="M33" s="119"/>
      <c r="N33" s="119"/>
      <c r="O33" s="108"/>
      <c r="P33" s="119"/>
      <c r="Q33" s="184"/>
      <c r="R33" s="119"/>
      <c r="S33" s="299"/>
      <c r="T33" s="569"/>
      <c r="U33" s="626"/>
      <c r="V33" s="626"/>
      <c r="W33" s="626"/>
    </row>
    <row r="34" spans="2:34" ht="15" thickBot="1" x14ac:dyDescent="0.4">
      <c r="B34" s="137" t="s">
        <v>37</v>
      </c>
      <c r="C34" s="137"/>
      <c r="D34" s="138"/>
      <c r="E34" s="139"/>
      <c r="F34" s="139"/>
      <c r="G34" s="140"/>
      <c r="H34" s="188"/>
      <c r="I34" s="82"/>
      <c r="J34" s="82"/>
      <c r="K34" s="93"/>
      <c r="L34" s="138"/>
      <c r="M34" s="139"/>
      <c r="N34" s="266"/>
      <c r="O34" s="267"/>
      <c r="P34" s="266"/>
      <c r="Q34" s="268"/>
      <c r="R34" s="139"/>
      <c r="S34" s="269"/>
      <c r="U34" s="610"/>
      <c r="V34" s="610"/>
      <c r="W34" s="610"/>
    </row>
    <row r="35" spans="2:34" ht="15" thickBot="1" x14ac:dyDescent="0.4">
      <c r="B35" s="135" t="s">
        <v>132</v>
      </c>
      <c r="C35" s="136"/>
      <c r="D35" s="211" t="s">
        <v>7</v>
      </c>
      <c r="E35" s="212" t="s">
        <v>7</v>
      </c>
      <c r="F35" s="212" t="s">
        <v>7</v>
      </c>
      <c r="G35" s="270" t="s">
        <v>7</v>
      </c>
      <c r="H35" s="271" t="s">
        <v>7</v>
      </c>
      <c r="I35" s="272" t="s">
        <v>7</v>
      </c>
      <c r="J35" s="272" t="s">
        <v>7</v>
      </c>
      <c r="K35" s="306" t="s">
        <v>7</v>
      </c>
      <c r="L35" s="211" t="s">
        <v>7</v>
      </c>
      <c r="M35" s="212" t="s">
        <v>7</v>
      </c>
      <c r="N35" s="212" t="s">
        <v>7</v>
      </c>
      <c r="O35" s="702" t="s">
        <v>7</v>
      </c>
      <c r="P35" s="212" t="s">
        <v>7</v>
      </c>
      <c r="Q35" s="708" t="s">
        <v>7</v>
      </c>
      <c r="R35" s="212" t="s">
        <v>7</v>
      </c>
      <c r="S35" s="709" t="s">
        <v>7</v>
      </c>
      <c r="T35" s="569"/>
      <c r="U35" s="625" t="s">
        <v>7</v>
      </c>
      <c r="V35" s="625" t="s">
        <v>7</v>
      </c>
      <c r="W35" s="625" t="s">
        <v>7</v>
      </c>
    </row>
    <row r="36" spans="2:34" ht="15" thickBot="1" x14ac:dyDescent="0.4">
      <c r="B36" s="8" t="s">
        <v>133</v>
      </c>
      <c r="C36" s="15"/>
      <c r="D36" s="121">
        <f>SUM(D35)</f>
        <v>0</v>
      </c>
      <c r="E36" s="122">
        <f>SUM(E35)</f>
        <v>0</v>
      </c>
      <c r="F36" s="122">
        <f>SUM(F35)</f>
        <v>0</v>
      </c>
      <c r="G36" s="98" t="s">
        <v>7</v>
      </c>
      <c r="H36" s="90">
        <f>SUM(H35)</f>
        <v>0</v>
      </c>
      <c r="I36" s="91">
        <f>SUM(I35)</f>
        <v>0</v>
      </c>
      <c r="J36" s="91">
        <f>SUM(J35)</f>
        <v>0</v>
      </c>
      <c r="K36" s="206" t="s">
        <v>7</v>
      </c>
      <c r="L36" s="121">
        <f>SUM(L35)</f>
        <v>0</v>
      </c>
      <c r="M36" s="122">
        <f>SUM(M35)</f>
        <v>0</v>
      </c>
      <c r="N36" s="122">
        <f>SUM(N35)</f>
        <v>0</v>
      </c>
      <c r="O36" s="109" t="s">
        <v>7</v>
      </c>
      <c r="P36" s="122">
        <f>SUM(P35)</f>
        <v>0</v>
      </c>
      <c r="Q36" s="185">
        <f>SUM(Q35)</f>
        <v>0</v>
      </c>
      <c r="R36" s="122">
        <f>SUM(R35)</f>
        <v>0</v>
      </c>
      <c r="S36" s="301">
        <f>SUM(S35)</f>
        <v>0</v>
      </c>
      <c r="T36" s="42"/>
      <c r="U36" s="620">
        <f>SUM(U35)</f>
        <v>0</v>
      </c>
      <c r="V36" s="620">
        <f>SUM(V35)</f>
        <v>0</v>
      </c>
      <c r="W36" s="620">
        <f>SUM(W35)</f>
        <v>0</v>
      </c>
    </row>
    <row r="37" spans="2:34" ht="15" thickBot="1" x14ac:dyDescent="0.4">
      <c r="B37" s="16"/>
      <c r="C37" s="17"/>
      <c r="D37" s="123"/>
      <c r="E37" s="114"/>
      <c r="F37" s="114"/>
      <c r="G37" s="99"/>
      <c r="H37" s="92"/>
      <c r="I37" s="85"/>
      <c r="J37" s="85"/>
      <c r="K37" s="307"/>
      <c r="L37" s="207"/>
      <c r="M37" s="208"/>
      <c r="N37" s="208"/>
      <c r="O37" s="209"/>
      <c r="P37" s="208"/>
      <c r="Q37" s="210"/>
      <c r="R37" s="208"/>
      <c r="S37" s="313"/>
      <c r="T37" s="569"/>
      <c r="U37" s="617"/>
      <c r="V37" s="617"/>
      <c r="W37" s="617"/>
    </row>
    <row r="38" spans="2:34" ht="15" thickBot="1" x14ac:dyDescent="0.4">
      <c r="B38" s="19" t="s">
        <v>134</v>
      </c>
      <c r="C38" s="710"/>
      <c r="D38" s="124"/>
      <c r="E38" s="125"/>
      <c r="F38" s="125"/>
      <c r="G38" s="173"/>
      <c r="H38" s="534">
        <f>11.27</f>
        <v>11.27</v>
      </c>
      <c r="I38" s="174">
        <v>950</v>
      </c>
      <c r="J38" s="534">
        <f>20.44051+H38</f>
        <v>31.710509999999999</v>
      </c>
      <c r="K38" s="308">
        <f>J38/I38</f>
        <v>3.3379484210526313E-2</v>
      </c>
      <c r="L38" s="124"/>
      <c r="M38" s="125"/>
      <c r="N38" s="125"/>
      <c r="O38" s="110"/>
      <c r="P38" s="125"/>
      <c r="Q38" s="125"/>
      <c r="R38" s="125"/>
      <c r="S38" s="302"/>
      <c r="T38" s="11"/>
      <c r="U38" s="627">
        <f>SUM(U36,U32,U25,U18)</f>
        <v>1.7000000000000001E-2</v>
      </c>
      <c r="V38" s="620">
        <f>SUM(V36,V32,V25,V18)</f>
        <v>7494.1748721836448</v>
      </c>
      <c r="W38" s="627">
        <f>SUM(W36,W32,W25,W18)</f>
        <v>1.9278E-2</v>
      </c>
      <c r="X38" s="9"/>
      <c r="Y38" s="9"/>
      <c r="Z38" s="9"/>
      <c r="AA38" s="9"/>
      <c r="AB38" s="9"/>
      <c r="AC38" s="9"/>
      <c r="AD38" s="9"/>
      <c r="AE38" s="9"/>
      <c r="AF38" s="9"/>
      <c r="AG38" s="9"/>
      <c r="AH38" s="9"/>
    </row>
    <row r="39" spans="2:34" ht="15" thickBot="1" x14ac:dyDescent="0.4">
      <c r="B39" s="8" t="s">
        <v>36</v>
      </c>
      <c r="C39" s="15"/>
      <c r="D39" s="121">
        <f>SUM(D36,D32,D26,D19)</f>
        <v>293764</v>
      </c>
      <c r="E39" s="122">
        <f>SUM(E36,E32,E26,E19)</f>
        <v>217271</v>
      </c>
      <c r="F39" s="122">
        <f>SUM(F36,F32,F26,F19)</f>
        <v>401156</v>
      </c>
      <c r="G39" s="98">
        <f>F39/E39</f>
        <v>1.8463393642041506</v>
      </c>
      <c r="H39" s="353">
        <f>SUM(H36,H32,H26,H19,H38)</f>
        <v>5098.72</v>
      </c>
      <c r="I39" s="350">
        <f>SUM(I36,I32,I26,I19,I38)</f>
        <v>36024.391000000003</v>
      </c>
      <c r="J39" s="350">
        <f>SUM(J36,J32,J26,J19,J38)</f>
        <v>13524.35563</v>
      </c>
      <c r="K39" s="308">
        <f>J39/I39</f>
        <v>0.37542218631815311</v>
      </c>
      <c r="L39" s="121">
        <f>SUM(L36,L32,L26,L19)</f>
        <v>22058.698766697002</v>
      </c>
      <c r="M39" s="122">
        <f>SUM(M36,M32,M26,M19)</f>
        <v>59555.727832112461</v>
      </c>
      <c r="N39" s="122">
        <f>SUM(N36,N32,N26,N19)</f>
        <v>53162.394799287998</v>
      </c>
      <c r="O39" s="109">
        <f>N39/M39</f>
        <v>0.89264956931015493</v>
      </c>
      <c r="P39" s="122">
        <f>SUM(P36,P32,P26,P19)</f>
        <v>22447.620922592967</v>
      </c>
      <c r="Q39" s="185">
        <f>SUM(Q36,Q32,Q26,Q19)</f>
        <v>7.7071719595564518</v>
      </c>
      <c r="R39" s="122">
        <f>SUM(R36,R32,R26,R19)</f>
        <v>281449.52534473594</v>
      </c>
      <c r="S39" s="301">
        <f>SUM(S36,S32,S26,S19)</f>
        <v>646845.16444228799</v>
      </c>
      <c r="T39" s="569"/>
    </row>
    <row r="40" spans="2:34" ht="16.5" x14ac:dyDescent="0.35">
      <c r="B40" s="21" t="s">
        <v>135</v>
      </c>
      <c r="C40" s="9"/>
      <c r="D40" s="9"/>
      <c r="E40" s="9"/>
      <c r="F40" s="9"/>
      <c r="G40" s="9"/>
      <c r="H40" s="9"/>
      <c r="I40" s="9"/>
      <c r="J40" s="213"/>
      <c r="K40" s="9"/>
      <c r="L40" s="354"/>
      <c r="M40" s="9"/>
      <c r="N40" s="214"/>
      <c r="O40" s="9"/>
      <c r="P40" s="9"/>
      <c r="Q40" s="9"/>
      <c r="R40" s="354"/>
      <c r="S40" s="11"/>
      <c r="T40" s="11"/>
      <c r="U40" s="9"/>
      <c r="V40" s="9"/>
      <c r="W40" s="9"/>
      <c r="X40" s="9"/>
      <c r="Y40" s="9"/>
      <c r="Z40" s="9"/>
      <c r="AA40" s="9"/>
      <c r="AB40" s="9"/>
      <c r="AC40" s="9"/>
      <c r="AD40" s="9"/>
      <c r="AE40" s="9"/>
      <c r="AF40" s="9"/>
      <c r="AG40" s="9"/>
      <c r="AH40" s="9"/>
    </row>
    <row r="41" spans="2:34" ht="16.5" x14ac:dyDescent="0.35">
      <c r="B41" s="21" t="s">
        <v>136</v>
      </c>
      <c r="C41" s="9"/>
      <c r="D41" s="9"/>
      <c r="E41" s="9"/>
      <c r="F41" s="9"/>
      <c r="G41" s="9"/>
      <c r="H41" s="9"/>
      <c r="I41" s="9"/>
      <c r="J41" s="9"/>
      <c r="K41" s="9"/>
      <c r="L41" s="9"/>
      <c r="M41" s="9"/>
      <c r="N41" s="9"/>
      <c r="O41" s="9"/>
      <c r="P41" s="9"/>
      <c r="Q41" s="9"/>
      <c r="R41" s="9"/>
    </row>
    <row r="42" spans="2:34" ht="16.5" x14ac:dyDescent="0.35">
      <c r="B42" t="s">
        <v>137</v>
      </c>
      <c r="N42"/>
      <c r="O42"/>
      <c r="P42"/>
      <c r="Q42"/>
      <c r="S42"/>
    </row>
    <row r="43" spans="2:34" ht="16.5" x14ac:dyDescent="0.35">
      <c r="B43" s="21" t="s">
        <v>138</v>
      </c>
    </row>
    <row r="44" spans="2:34" x14ac:dyDescent="0.35">
      <c r="B44" t="s">
        <v>139</v>
      </c>
    </row>
    <row r="48" spans="2:34" x14ac:dyDescent="0.35">
      <c r="K48" s="163"/>
    </row>
    <row r="49" spans="11:20" x14ac:dyDescent="0.35">
      <c r="K49" s="163"/>
    </row>
    <row r="50" spans="11:20" x14ac:dyDescent="0.35">
      <c r="K50" s="163"/>
    </row>
    <row r="51" spans="11:20" x14ac:dyDescent="0.35">
      <c r="K51" s="163"/>
    </row>
    <row r="52" spans="11:20" x14ac:dyDescent="0.35">
      <c r="K52" s="163"/>
    </row>
    <row r="53" spans="11:20" x14ac:dyDescent="0.35">
      <c r="K53" s="163"/>
    </row>
    <row r="54" spans="11:20" x14ac:dyDescent="0.35">
      <c r="K54" s="163"/>
    </row>
    <row r="55" spans="11:20" x14ac:dyDescent="0.35">
      <c r="K55" s="163"/>
    </row>
    <row r="56" spans="11:20" x14ac:dyDescent="0.35">
      <c r="K56" s="163"/>
    </row>
    <row r="57" spans="11:20" x14ac:dyDescent="0.35">
      <c r="K57" s="163"/>
    </row>
    <row r="58" spans="11:20" x14ac:dyDescent="0.35">
      <c r="K58" s="163"/>
    </row>
    <row r="59" spans="11:20" x14ac:dyDescent="0.35">
      <c r="K59" s="163"/>
    </row>
    <row r="61" spans="11:20" x14ac:dyDescent="0.35">
      <c r="K61" s="163"/>
      <c r="M61" s="2"/>
      <c r="P61" s="3"/>
      <c r="Q61"/>
      <c r="T61"/>
    </row>
    <row r="62" spans="11:20" x14ac:dyDescent="0.35">
      <c r="K62" s="163"/>
      <c r="M62" s="2"/>
      <c r="P62" s="3"/>
      <c r="Q62"/>
      <c r="T62"/>
    </row>
    <row r="63" spans="11:20" x14ac:dyDescent="0.35">
      <c r="K63" s="163"/>
      <c r="M63" s="2"/>
      <c r="P63" s="3"/>
      <c r="Q63"/>
      <c r="T63"/>
    </row>
    <row r="64" spans="11:20" x14ac:dyDescent="0.35">
      <c r="K64" s="163"/>
      <c r="M64" s="2"/>
      <c r="P64" s="3"/>
      <c r="Q64"/>
      <c r="T64"/>
    </row>
    <row r="65" spans="11:20" x14ac:dyDescent="0.35">
      <c r="K65" s="163"/>
      <c r="M65" s="2"/>
      <c r="P65" s="3"/>
      <c r="Q65"/>
      <c r="T65"/>
    </row>
    <row r="66" spans="11:20" x14ac:dyDescent="0.35">
      <c r="K66" s="163"/>
      <c r="M66" s="2"/>
      <c r="P66" s="3"/>
      <c r="Q66"/>
      <c r="T66"/>
    </row>
    <row r="67" spans="11:20" x14ac:dyDescent="0.35">
      <c r="K67" s="163"/>
      <c r="M67" s="2"/>
      <c r="P67" s="3"/>
      <c r="Q67"/>
      <c r="T67"/>
    </row>
    <row r="68" spans="11:20" x14ac:dyDescent="0.35">
      <c r="K68" s="163"/>
      <c r="M68" s="2"/>
      <c r="P68" s="3"/>
      <c r="Q68"/>
      <c r="T68"/>
    </row>
    <row r="69" spans="11:20" x14ac:dyDescent="0.35">
      <c r="K69" s="163"/>
      <c r="M69" s="2"/>
      <c r="P69" s="3"/>
      <c r="Q69"/>
      <c r="T69"/>
    </row>
    <row r="70" spans="11:20" x14ac:dyDescent="0.35">
      <c r="K70" s="163"/>
      <c r="M70" s="2"/>
      <c r="P70" s="3"/>
      <c r="Q70"/>
      <c r="T70"/>
    </row>
    <row r="71" spans="11:20" x14ac:dyDescent="0.35">
      <c r="K71" s="163"/>
      <c r="M71" s="2"/>
      <c r="P71" s="3"/>
      <c r="Q71"/>
      <c r="T71"/>
    </row>
    <row r="72" spans="11:20" x14ac:dyDescent="0.35">
      <c r="K72" s="163"/>
      <c r="M72" s="2"/>
      <c r="P72" s="3"/>
      <c r="Q72"/>
      <c r="T72"/>
    </row>
  </sheetData>
  <mergeCells count="8">
    <mergeCell ref="U4:W4"/>
    <mergeCell ref="B8:B13"/>
    <mergeCell ref="B15:B17"/>
    <mergeCell ref="B23:B25"/>
    <mergeCell ref="B28:B31"/>
    <mergeCell ref="D4:G4"/>
    <mergeCell ref="H4:K4"/>
    <mergeCell ref="L4:S4"/>
  </mergeCells>
  <pageMargins left="0.25" right="0.25" top="0.75" bottom="0.75" header="0.3" footer="0.3"/>
  <pageSetup scale="56" fitToHeight="0" orientation="landscape" r:id="rId1"/>
  <headerFooter>
    <oddHeader xml:space="preserve">&amp;CACE Q2 of Program Year 2022 Portfolio Summary Reporting Table </oddHeader>
    <oddFooter>&amp;C&amp;N&amp;R&amp;D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Z72"/>
  <sheetViews>
    <sheetView showGridLines="0" tabSelected="1" zoomScaleNormal="100" zoomScaleSheetLayoutView="100" workbookViewId="0">
      <selection activeCell="C2" sqref="C2"/>
    </sheetView>
  </sheetViews>
  <sheetFormatPr defaultColWidth="9.26953125" defaultRowHeight="14.5" x14ac:dyDescent="0.35"/>
  <cols>
    <col min="1" max="1" width="0.1796875" customWidth="1"/>
    <col min="2" max="2" width="43.7265625" customWidth="1"/>
    <col min="3" max="3" width="35.54296875" customWidth="1"/>
    <col min="4" max="13" width="14.26953125" customWidth="1"/>
    <col min="14" max="16" width="14.26953125" style="2" customWidth="1"/>
    <col min="17" max="17" width="14.26953125" style="3" customWidth="1"/>
    <col min="18" max="18" width="14.26953125" customWidth="1"/>
    <col min="19" max="19" width="14.26953125" style="2" customWidth="1"/>
    <col min="20" max="20" width="16.1796875" style="2" customWidth="1"/>
    <col min="21" max="21" width="28.1796875" bestFit="1" customWidth="1"/>
  </cols>
  <sheetData>
    <row r="1" spans="1:21" ht="23.5" x14ac:dyDescent="0.55000000000000004">
      <c r="A1" s="1" t="s">
        <v>47</v>
      </c>
      <c r="D1" s="742"/>
      <c r="E1" s="742"/>
      <c r="F1" s="742"/>
      <c r="G1" s="479"/>
      <c r="S1" s="36"/>
      <c r="T1" s="36"/>
    </row>
    <row r="2" spans="1:21" ht="18.5" x14ac:dyDescent="0.45">
      <c r="D2" s="742"/>
      <c r="E2" s="742"/>
      <c r="F2" s="742"/>
      <c r="G2" s="742"/>
      <c r="H2" s="5"/>
      <c r="S2" s="36"/>
      <c r="T2" s="36"/>
    </row>
    <row r="3" spans="1:21" ht="19" thickBot="1" x14ac:dyDescent="0.5">
      <c r="A3" s="5"/>
      <c r="B3" s="5" t="s">
        <v>55</v>
      </c>
      <c r="C3" s="5"/>
      <c r="F3" s="336"/>
      <c r="I3" s="5"/>
      <c r="J3" s="5"/>
      <c r="K3" s="5"/>
      <c r="L3" s="5"/>
      <c r="M3" s="5"/>
      <c r="Q3" s="9"/>
      <c r="S3" s="36"/>
      <c r="T3" s="36"/>
    </row>
    <row r="4" spans="1:21" ht="15" thickBot="1" x14ac:dyDescent="0.4">
      <c r="A4" t="s">
        <v>56</v>
      </c>
      <c r="B4" s="29"/>
      <c r="C4" s="29"/>
      <c r="D4" s="899" t="s">
        <v>57</v>
      </c>
      <c r="E4" s="900"/>
      <c r="F4" s="900"/>
      <c r="G4" s="901"/>
      <c r="H4" s="894" t="s">
        <v>58</v>
      </c>
      <c r="I4" s="895"/>
      <c r="J4" s="895"/>
      <c r="K4" s="895"/>
      <c r="L4" s="896" t="s">
        <v>59</v>
      </c>
      <c r="M4" s="897"/>
      <c r="N4" s="897"/>
      <c r="O4" s="897"/>
      <c r="P4" s="897"/>
      <c r="Q4" s="897"/>
      <c r="R4" s="897"/>
      <c r="S4" s="898"/>
      <c r="T4" s="44"/>
    </row>
    <row r="5" spans="1:21" x14ac:dyDescent="0.35">
      <c r="B5" s="32"/>
      <c r="C5" s="32"/>
      <c r="D5" s="738" t="s">
        <v>61</v>
      </c>
      <c r="E5" s="14" t="s">
        <v>62</v>
      </c>
      <c r="F5" s="14" t="s">
        <v>63</v>
      </c>
      <c r="G5" s="333" t="s">
        <v>64</v>
      </c>
      <c r="H5" s="25" t="s">
        <v>65</v>
      </c>
      <c r="I5" s="26" t="s">
        <v>66</v>
      </c>
      <c r="J5" s="26" t="s">
        <v>67</v>
      </c>
      <c r="K5" s="303" t="s">
        <v>68</v>
      </c>
      <c r="L5" s="6" t="s">
        <v>69</v>
      </c>
      <c r="M5" s="22" t="s">
        <v>70</v>
      </c>
      <c r="N5" s="6" t="s">
        <v>71</v>
      </c>
      <c r="O5" s="22" t="s">
        <v>72</v>
      </c>
      <c r="P5" s="22" t="s">
        <v>73</v>
      </c>
      <c r="Q5" s="14" t="s">
        <v>74</v>
      </c>
      <c r="R5" s="46" t="s">
        <v>75</v>
      </c>
      <c r="S5" s="309" t="s">
        <v>76</v>
      </c>
      <c r="T5" s="36"/>
      <c r="U5" s="176"/>
    </row>
    <row r="6" spans="1:21" ht="55.5" customHeight="1" thickBot="1" x14ac:dyDescent="0.4">
      <c r="B6" s="31"/>
      <c r="C6" s="31"/>
      <c r="D6" s="739" t="s">
        <v>0</v>
      </c>
      <c r="E6" s="740" t="s">
        <v>80</v>
      </c>
      <c r="F6" s="740" t="s">
        <v>43</v>
      </c>
      <c r="G6" s="741" t="s">
        <v>81</v>
      </c>
      <c r="H6" s="27" t="s">
        <v>82</v>
      </c>
      <c r="I6" s="28" t="s">
        <v>83</v>
      </c>
      <c r="J6" s="28" t="s">
        <v>84</v>
      </c>
      <c r="K6" s="304" t="s">
        <v>85</v>
      </c>
      <c r="L6" s="310" t="s">
        <v>86</v>
      </c>
      <c r="M6" s="23" t="s">
        <v>87</v>
      </c>
      <c r="N6" s="12" t="s">
        <v>88</v>
      </c>
      <c r="O6" s="24" t="s">
        <v>89</v>
      </c>
      <c r="P6" s="24" t="s">
        <v>90</v>
      </c>
      <c r="Q6" s="7" t="s">
        <v>91</v>
      </c>
      <c r="R6" s="24" t="s">
        <v>92</v>
      </c>
      <c r="S6" s="311" t="s">
        <v>93</v>
      </c>
      <c r="T6" s="36"/>
    </row>
    <row r="7" spans="1:21" ht="15.75" customHeight="1" thickBot="1" x14ac:dyDescent="0.4">
      <c r="B7" s="49" t="s">
        <v>102</v>
      </c>
      <c r="C7" s="142" t="s">
        <v>103</v>
      </c>
      <c r="D7" s="352"/>
      <c r="E7" s="80"/>
      <c r="F7" s="178"/>
      <c r="G7" s="100"/>
      <c r="H7" s="744"/>
      <c r="I7" s="350"/>
      <c r="J7" s="745"/>
      <c r="K7" s="746"/>
      <c r="L7" s="126"/>
      <c r="M7" s="80"/>
      <c r="N7" s="127"/>
      <c r="O7" s="101"/>
      <c r="P7" s="127"/>
      <c r="Q7" s="127"/>
      <c r="R7" s="177"/>
      <c r="S7" s="312"/>
      <c r="T7" s="39"/>
    </row>
    <row r="8" spans="1:21" ht="15.75" customHeight="1" x14ac:dyDescent="0.35">
      <c r="B8" s="885" t="s">
        <v>106</v>
      </c>
      <c r="C8" s="877" t="s">
        <v>8</v>
      </c>
      <c r="D8" s="748">
        <v>181</v>
      </c>
      <c r="E8" s="219" t="s">
        <v>7</v>
      </c>
      <c r="F8" s="748">
        <v>954</v>
      </c>
      <c r="G8" s="220" t="s">
        <v>7</v>
      </c>
      <c r="H8" s="749">
        <f>590.18+1.14</f>
        <v>591.31999999999994</v>
      </c>
      <c r="I8" s="228" t="s">
        <v>107</v>
      </c>
      <c r="J8" s="750">
        <f>670.3175+H8</f>
        <v>1261.6374999999998</v>
      </c>
      <c r="K8" s="743" t="s">
        <v>7</v>
      </c>
      <c r="L8" s="748">
        <v>105.6852524</v>
      </c>
      <c r="M8" s="219" t="s">
        <v>107</v>
      </c>
      <c r="N8" s="219">
        <v>475.3648263</v>
      </c>
      <c r="O8" s="812" t="s">
        <v>107</v>
      </c>
      <c r="P8" s="813">
        <f t="shared" ref="P8:P13" si="0">L8*1.115</f>
        <v>117.839056426</v>
      </c>
      <c r="Q8" s="814">
        <v>0.19455787000000002</v>
      </c>
      <c r="R8" s="219">
        <v>1669.665888</v>
      </c>
      <c r="S8" s="815">
        <v>7251.3957008999996</v>
      </c>
      <c r="T8" s="36"/>
      <c r="U8" s="176"/>
    </row>
    <row r="9" spans="1:21" x14ac:dyDescent="0.35">
      <c r="B9" s="886"/>
      <c r="C9" s="175" t="s">
        <v>9</v>
      </c>
      <c r="D9" s="751">
        <v>732</v>
      </c>
      <c r="E9" s="161" t="s">
        <v>7</v>
      </c>
      <c r="F9" s="751">
        <v>2575</v>
      </c>
      <c r="G9" s="222" t="s">
        <v>7</v>
      </c>
      <c r="H9" s="752">
        <f>420.99+1</f>
        <v>421.99</v>
      </c>
      <c r="I9" s="223" t="s">
        <v>107</v>
      </c>
      <c r="J9" s="753">
        <f>913.4532+H9</f>
        <v>1335.4432000000002</v>
      </c>
      <c r="K9" s="224" t="s">
        <v>7</v>
      </c>
      <c r="L9" s="816">
        <v>87.566236200000006</v>
      </c>
      <c r="M9" s="148" t="s">
        <v>107</v>
      </c>
      <c r="N9" s="148">
        <v>321.65907079999999</v>
      </c>
      <c r="O9" s="808" t="s">
        <v>107</v>
      </c>
      <c r="P9" s="809">
        <f t="shared" si="0"/>
        <v>97.636353363000012</v>
      </c>
      <c r="Q9" s="810">
        <v>3.8346125000000002E-2</v>
      </c>
      <c r="R9" s="148">
        <v>982.47224949999998</v>
      </c>
      <c r="S9" s="817">
        <v>3567.8787510000002</v>
      </c>
      <c r="T9" s="36"/>
    </row>
    <row r="10" spans="1:21" x14ac:dyDescent="0.35">
      <c r="B10" s="886"/>
      <c r="C10" s="175" t="s">
        <v>10</v>
      </c>
      <c r="D10" s="751">
        <v>410</v>
      </c>
      <c r="E10" s="161" t="s">
        <v>7</v>
      </c>
      <c r="F10" s="751">
        <v>1403</v>
      </c>
      <c r="G10" s="222" t="s">
        <v>7</v>
      </c>
      <c r="H10" s="749">
        <f>187.94+0.99</f>
        <v>188.93</v>
      </c>
      <c r="I10" s="225" t="s">
        <v>107</v>
      </c>
      <c r="J10" s="754">
        <f>385.92363+H10</f>
        <v>574.85363000000007</v>
      </c>
      <c r="K10" s="226" t="s">
        <v>7</v>
      </c>
      <c r="L10" s="816">
        <v>458.88</v>
      </c>
      <c r="M10" s="148" t="s">
        <v>107</v>
      </c>
      <c r="N10" s="148">
        <v>1550.1489999999999</v>
      </c>
      <c r="O10" s="808" t="s">
        <v>107</v>
      </c>
      <c r="P10" s="809">
        <f t="shared" si="0"/>
        <v>511.65120000000002</v>
      </c>
      <c r="Q10" s="810">
        <v>0.248617</v>
      </c>
      <c r="R10" s="148">
        <v>2230.4259999999999</v>
      </c>
      <c r="S10" s="817">
        <v>7529</v>
      </c>
      <c r="T10" s="36"/>
    </row>
    <row r="11" spans="1:21" x14ac:dyDescent="0.35">
      <c r="B11" s="886"/>
      <c r="C11" s="175" t="s">
        <v>11</v>
      </c>
      <c r="D11" s="751">
        <v>439</v>
      </c>
      <c r="E11" s="161" t="s">
        <v>7</v>
      </c>
      <c r="F11" s="751">
        <v>1905</v>
      </c>
      <c r="G11" s="222" t="s">
        <v>7</v>
      </c>
      <c r="H11" s="749">
        <v>75.5</v>
      </c>
      <c r="I11" s="225" t="s">
        <v>107</v>
      </c>
      <c r="J11" s="754">
        <f>199.90569+H11</f>
        <v>275.40568999999999</v>
      </c>
      <c r="K11" s="226" t="s">
        <v>7</v>
      </c>
      <c r="L11" s="816">
        <v>63</v>
      </c>
      <c r="M11" s="148" t="s">
        <v>7</v>
      </c>
      <c r="N11" s="148">
        <v>267</v>
      </c>
      <c r="O11" s="808" t="s">
        <v>107</v>
      </c>
      <c r="P11" s="809">
        <f>L11*1.115</f>
        <v>70.245000000000005</v>
      </c>
      <c r="Q11" s="811">
        <v>4.8025999999999999E-2</v>
      </c>
      <c r="R11" s="148">
        <v>535</v>
      </c>
      <c r="S11" s="817">
        <v>2350</v>
      </c>
      <c r="T11" s="36"/>
      <c r="U11" s="176"/>
    </row>
    <row r="12" spans="1:21" x14ac:dyDescent="0.35">
      <c r="B12" s="886"/>
      <c r="C12" s="78" t="s">
        <v>12</v>
      </c>
      <c r="D12" s="751">
        <v>9327</v>
      </c>
      <c r="E12" s="148" t="s">
        <v>7</v>
      </c>
      <c r="F12" s="751">
        <v>29487</v>
      </c>
      <c r="G12" s="222" t="s">
        <v>7</v>
      </c>
      <c r="H12" s="749">
        <v>0</v>
      </c>
      <c r="I12" s="225" t="s">
        <v>107</v>
      </c>
      <c r="J12" s="754">
        <v>0</v>
      </c>
      <c r="K12" s="226" t="s">
        <v>7</v>
      </c>
      <c r="L12" s="816">
        <v>2522.4800617000001</v>
      </c>
      <c r="M12" s="148" t="s">
        <v>107</v>
      </c>
      <c r="N12" s="148">
        <v>6255.9610843</v>
      </c>
      <c r="O12" s="808" t="s">
        <v>107</v>
      </c>
      <c r="P12" s="148">
        <f t="shared" si="0"/>
        <v>2812.5652687955003</v>
      </c>
      <c r="Q12" s="810">
        <v>0.74399999999999999</v>
      </c>
      <c r="R12" s="148">
        <v>31125.4917255</v>
      </c>
      <c r="S12" s="817">
        <v>86492.1187125</v>
      </c>
      <c r="T12" s="36"/>
    </row>
    <row r="13" spans="1:21" ht="15" thickBot="1" x14ac:dyDescent="0.4">
      <c r="B13" s="886"/>
      <c r="C13" s="351" t="s">
        <v>13</v>
      </c>
      <c r="D13" s="755">
        <v>51322</v>
      </c>
      <c r="E13" s="149" t="s">
        <v>7</v>
      </c>
      <c r="F13" s="755">
        <v>132560</v>
      </c>
      <c r="G13" s="227" t="s">
        <v>7</v>
      </c>
      <c r="H13" s="756">
        <f>240.08+1</f>
        <v>241.08</v>
      </c>
      <c r="I13" s="228" t="s">
        <v>107</v>
      </c>
      <c r="J13" s="750">
        <f>455.91483+H13</f>
        <v>696.99482999999998</v>
      </c>
      <c r="K13" s="229" t="s">
        <v>7</v>
      </c>
      <c r="L13" s="818">
        <v>7927.4096903999998</v>
      </c>
      <c r="M13" s="149" t="s">
        <v>107</v>
      </c>
      <c r="N13" s="149">
        <v>20062.3353298</v>
      </c>
      <c r="O13" s="107" t="s">
        <v>107</v>
      </c>
      <c r="P13" s="819">
        <f t="shared" si="0"/>
        <v>8839.0618047959997</v>
      </c>
      <c r="Q13" s="820">
        <v>1.503802458</v>
      </c>
      <c r="R13" s="149">
        <v>118911.14535599999</v>
      </c>
      <c r="S13" s="821">
        <v>300935.02994699997</v>
      </c>
      <c r="T13" s="36"/>
    </row>
    <row r="14" spans="1:21" ht="15" thickBot="1" x14ac:dyDescent="0.4">
      <c r="B14" s="872"/>
      <c r="C14" s="646" t="s">
        <v>113</v>
      </c>
      <c r="D14" s="230">
        <f>SUM(D8:D13)</f>
        <v>62411</v>
      </c>
      <c r="E14" s="231">
        <v>81204</v>
      </c>
      <c r="F14" s="231">
        <f>SUM(F8:F13)</f>
        <v>168884</v>
      </c>
      <c r="G14" s="232">
        <f t="shared" ref="G14" si="1">F14/E14</f>
        <v>2.0797497660213784</v>
      </c>
      <c r="H14" s="233">
        <f>SUM(H8:H13)</f>
        <v>1518.82</v>
      </c>
      <c r="I14" s="234">
        <v>5012.5690000000004</v>
      </c>
      <c r="J14" s="234">
        <f>SUM(J8:J13)</f>
        <v>4144.3348500000002</v>
      </c>
      <c r="K14" s="235">
        <f>J14/I14</f>
        <v>0.82678858884536055</v>
      </c>
      <c r="L14" s="230">
        <f>SUM(L8:L13)</f>
        <v>11165.0212407</v>
      </c>
      <c r="M14" s="231">
        <v>11595.373</v>
      </c>
      <c r="N14" s="231">
        <f>SUM(N8:N13)</f>
        <v>28932.469311200002</v>
      </c>
      <c r="O14" s="804">
        <f>N14/M14</f>
        <v>2.4951736620460596</v>
      </c>
      <c r="P14" s="231">
        <f>L14*1.115</f>
        <v>12448.9986833805</v>
      </c>
      <c r="Q14" s="805">
        <f>SUM(Q8:Q13)</f>
        <v>2.7773494530000002</v>
      </c>
      <c r="R14" s="806">
        <f>SUM(R8:R13)</f>
        <v>155454.20121899998</v>
      </c>
      <c r="S14" s="807">
        <f>SUM(S8:S13)</f>
        <v>408125.42311139998</v>
      </c>
      <c r="T14" s="36"/>
      <c r="U14" s="176"/>
    </row>
    <row r="15" spans="1:21" x14ac:dyDescent="0.35">
      <c r="B15" s="885" t="s">
        <v>25</v>
      </c>
      <c r="C15" s="873" t="s">
        <v>115</v>
      </c>
      <c r="D15" s="757">
        <v>0</v>
      </c>
      <c r="E15" s="128">
        <v>281</v>
      </c>
      <c r="F15" s="128">
        <v>42</v>
      </c>
      <c r="G15" s="129">
        <f>F15/E15</f>
        <v>0.1494661921708185</v>
      </c>
      <c r="H15" s="758">
        <f>344+2.51</f>
        <v>346.51</v>
      </c>
      <c r="I15" s="191">
        <v>2943.2649999999999</v>
      </c>
      <c r="J15" s="191">
        <f>603.37778+H15</f>
        <v>949.88778000000002</v>
      </c>
      <c r="K15" s="194">
        <f>J15/I15</f>
        <v>0.32273267272909512</v>
      </c>
      <c r="L15" s="759">
        <v>0</v>
      </c>
      <c r="M15" s="238">
        <v>626.90599999999995</v>
      </c>
      <c r="N15" s="128">
        <v>38</v>
      </c>
      <c r="O15" s="597">
        <f>N15/M15</f>
        <v>6.0615148044523427E-2</v>
      </c>
      <c r="P15" s="143">
        <f>L15*1.115</f>
        <v>0</v>
      </c>
      <c r="Q15" s="760">
        <v>0</v>
      </c>
      <c r="R15" s="128">
        <v>0</v>
      </c>
      <c r="S15" s="761">
        <v>999</v>
      </c>
      <c r="T15" s="566"/>
    </row>
    <row r="16" spans="1:21" ht="16.5" x14ac:dyDescent="0.35">
      <c r="B16" s="886"/>
      <c r="C16" s="165" t="s">
        <v>117</v>
      </c>
      <c r="D16" s="762">
        <v>2733</v>
      </c>
      <c r="E16" s="599">
        <v>6500</v>
      </c>
      <c r="F16" s="599">
        <v>2990</v>
      </c>
      <c r="G16" s="239">
        <f>F16/E16</f>
        <v>0.46</v>
      </c>
      <c r="H16" s="763">
        <f>164.88+1.83</f>
        <v>166.71</v>
      </c>
      <c r="I16" s="240">
        <v>3681.07</v>
      </c>
      <c r="J16" s="240">
        <f>352.17347+H16</f>
        <v>518.88346999999999</v>
      </c>
      <c r="K16" s="195">
        <f>J16/I16</f>
        <v>0.14095995729502561</v>
      </c>
      <c r="L16" s="764">
        <v>1290.346093674</v>
      </c>
      <c r="M16" s="130">
        <v>6835.1059999999998</v>
      </c>
      <c r="N16" s="130">
        <v>1419.6307429999999</v>
      </c>
      <c r="O16" s="196">
        <f>N16/M16</f>
        <v>0.2076969608079231</v>
      </c>
      <c r="P16" s="164">
        <f>L16*1.115</f>
        <v>1438.73589444651</v>
      </c>
      <c r="Q16" s="765">
        <v>0.100103632</v>
      </c>
      <c r="R16" s="130">
        <v>17358.318728212998</v>
      </c>
      <c r="S16" s="766">
        <v>19080.201929999999</v>
      </c>
      <c r="T16" s="567"/>
    </row>
    <row r="17" spans="2:26" ht="15" thickBot="1" x14ac:dyDescent="0.4">
      <c r="B17" s="886"/>
      <c r="C17" s="874" t="s">
        <v>15</v>
      </c>
      <c r="D17" s="767">
        <v>0</v>
      </c>
      <c r="E17" s="241">
        <v>450</v>
      </c>
      <c r="F17" s="241">
        <v>107</v>
      </c>
      <c r="G17" s="242">
        <f>F17/E17</f>
        <v>0.23777777777777778</v>
      </c>
      <c r="H17" s="768">
        <f>135.28+1.96</f>
        <v>137.24</v>
      </c>
      <c r="I17" s="243">
        <v>4214.8360000000002</v>
      </c>
      <c r="J17" s="243">
        <f>504.42918+H17</f>
        <v>641.66917999999998</v>
      </c>
      <c r="K17" s="244">
        <f>J17/I17</f>
        <v>0.15224060437938747</v>
      </c>
      <c r="L17" s="769">
        <v>0</v>
      </c>
      <c r="M17" s="245">
        <v>824.19899999999996</v>
      </c>
      <c r="N17" s="245">
        <v>109.40472579999999</v>
      </c>
      <c r="O17" s="602">
        <f>N17/M17</f>
        <v>0.13274066796975004</v>
      </c>
      <c r="P17" s="245">
        <f>L17*1.115</f>
        <v>0</v>
      </c>
      <c r="Q17" s="770">
        <v>7.392058E-3</v>
      </c>
      <c r="R17" s="245">
        <v>0</v>
      </c>
      <c r="S17" s="771">
        <v>1363.4003029999999</v>
      </c>
      <c r="T17" s="567"/>
    </row>
    <row r="18" spans="2:26" ht="17" thickBot="1" x14ac:dyDescent="0.4">
      <c r="B18" s="35" t="s">
        <v>26</v>
      </c>
      <c r="C18" s="802" t="s">
        <v>121</v>
      </c>
      <c r="D18" s="772">
        <v>227665</v>
      </c>
      <c r="E18" s="246" t="s">
        <v>122</v>
      </c>
      <c r="F18" s="246">
        <v>227665</v>
      </c>
      <c r="G18" s="247" t="s">
        <v>7</v>
      </c>
      <c r="H18" s="803">
        <f>138.92</f>
        <v>138.91999999999999</v>
      </c>
      <c r="I18" s="248" t="s">
        <v>123</v>
      </c>
      <c r="J18" s="248">
        <f>1.48493+H18</f>
        <v>140.40492999999998</v>
      </c>
      <c r="K18" s="249" t="s">
        <v>7</v>
      </c>
      <c r="L18" s="773">
        <v>1765.7729787230001</v>
      </c>
      <c r="M18" s="167" t="s">
        <v>122</v>
      </c>
      <c r="N18" s="167">
        <v>7397.0412357880004</v>
      </c>
      <c r="O18" s="604" t="s">
        <v>7</v>
      </c>
      <c r="P18" s="167">
        <f>L18*1.115</f>
        <v>1968.8368712761451</v>
      </c>
      <c r="Q18" s="774">
        <v>2.2931459595564516</v>
      </c>
      <c r="R18" s="167">
        <v>1765.7729787230001</v>
      </c>
      <c r="S18" s="775">
        <v>7397.0412357880004</v>
      </c>
      <c r="T18" s="36"/>
    </row>
    <row r="19" spans="2:26" ht="15" thickBot="1" x14ac:dyDescent="0.4">
      <c r="B19" s="50" t="s">
        <v>124</v>
      </c>
      <c r="C19" s="53"/>
      <c r="D19" s="111">
        <f>SUM(D14:D18)</f>
        <v>292809</v>
      </c>
      <c r="E19" s="112">
        <f>SUM(E14:E18)</f>
        <v>88435</v>
      </c>
      <c r="F19" s="112">
        <f>SUM(F14:F18)</f>
        <v>399688</v>
      </c>
      <c r="G19" s="93">
        <f t="shared" ref="G19" si="2">F19/E19</f>
        <v>4.5195680443263413</v>
      </c>
      <c r="H19" s="151">
        <f>SUM(H14:H18)</f>
        <v>2308.1999999999998</v>
      </c>
      <c r="I19" s="152">
        <f>SUM(I14:I18)</f>
        <v>15851.740000000002</v>
      </c>
      <c r="J19" s="152">
        <f>SUM(J14:J18)</f>
        <v>6395.1802099999995</v>
      </c>
      <c r="K19" s="250">
        <f t="shared" ref="K19" si="3">J19/I19</f>
        <v>0.40343711226653978</v>
      </c>
      <c r="L19" s="111">
        <f>SUM(L14:L18)</f>
        <v>14221.140313096999</v>
      </c>
      <c r="M19" s="112">
        <f>SUM(M14:M18)</f>
        <v>19881.583999999999</v>
      </c>
      <c r="N19" s="145">
        <f>SUM(N14:N18)</f>
        <v>37896.546015788001</v>
      </c>
      <c r="O19" s="104">
        <f>N19/M19</f>
        <v>1.9061130147269958</v>
      </c>
      <c r="P19" s="145">
        <f>SUM(P14:P18)</f>
        <v>15856.571449103156</v>
      </c>
      <c r="Q19" s="181">
        <f t="shared" ref="Q19" si="4">SUM(Q14:Q18)</f>
        <v>5.1779911025564527</v>
      </c>
      <c r="R19" s="112">
        <f>SUM(R14:R18)</f>
        <v>174578.29292593597</v>
      </c>
      <c r="S19" s="168">
        <f>SUM(S14:S18)</f>
        <v>436965.06658018799</v>
      </c>
      <c r="T19" s="39"/>
    </row>
    <row r="20" spans="2:26" ht="15" thickBot="1" x14ac:dyDescent="0.4">
      <c r="B20" s="16"/>
      <c r="C20" s="55"/>
      <c r="D20" s="113"/>
      <c r="E20" s="114"/>
      <c r="F20" s="114"/>
      <c r="G20" s="94"/>
      <c r="H20" s="83"/>
      <c r="I20" s="84"/>
      <c r="J20" s="84"/>
      <c r="K20" s="251"/>
      <c r="L20" s="113"/>
      <c r="M20" s="114"/>
      <c r="N20" s="146"/>
      <c r="O20" s="105"/>
      <c r="P20" s="146"/>
      <c r="Q20" s="182"/>
      <c r="R20" s="114"/>
      <c r="S20" s="252"/>
      <c r="T20" s="42"/>
    </row>
    <row r="21" spans="2:26" ht="15" thickBot="1" x14ac:dyDescent="0.4">
      <c r="B21" s="54" t="s">
        <v>125</v>
      </c>
      <c r="C21" s="52" t="s">
        <v>42</v>
      </c>
      <c r="D21" s="115"/>
      <c r="E21" s="116"/>
      <c r="F21" s="116"/>
      <c r="G21" s="95"/>
      <c r="H21" s="86"/>
      <c r="I21" s="87"/>
      <c r="J21" s="87"/>
      <c r="K21" s="253"/>
      <c r="L21" s="115"/>
      <c r="M21" s="116"/>
      <c r="N21" s="147"/>
      <c r="O21" s="106"/>
      <c r="P21" s="147"/>
      <c r="Q21" s="183"/>
      <c r="R21" s="116"/>
      <c r="S21" s="254"/>
      <c r="T21" s="39"/>
    </row>
    <row r="22" spans="2:26" ht="15" thickBot="1" x14ac:dyDescent="0.4">
      <c r="B22" s="48" t="s">
        <v>17</v>
      </c>
      <c r="C22" s="871" t="s">
        <v>126</v>
      </c>
      <c r="D22" s="776">
        <v>1</v>
      </c>
      <c r="E22" s="167">
        <v>180</v>
      </c>
      <c r="F22" s="167">
        <v>1</v>
      </c>
      <c r="G22" s="255">
        <f t="shared" ref="G22:G26" si="5">F22/E22</f>
        <v>5.5555555555555558E-3</v>
      </c>
      <c r="H22" s="777">
        <f>392.1+13.65</f>
        <v>405.75</v>
      </c>
      <c r="I22" s="256">
        <v>12369.521000000001</v>
      </c>
      <c r="J22" s="256">
        <f>959.27751+H22</f>
        <v>1365.0275099999999</v>
      </c>
      <c r="K22" s="257">
        <f t="shared" ref="K22:K26" si="6">J22/I22</f>
        <v>0.11035411233789892</v>
      </c>
      <c r="L22" s="776">
        <v>19.804380900000002</v>
      </c>
      <c r="M22" s="167">
        <v>8363.3648321124692</v>
      </c>
      <c r="N22" s="778">
        <v>19.804380900000002</v>
      </c>
      <c r="O22" s="594">
        <f>N22/M22</f>
        <v>2.3679919861869388E-3</v>
      </c>
      <c r="P22" s="162">
        <f>L22*1.099</f>
        <v>21.765014609100003</v>
      </c>
      <c r="Q22" s="779">
        <v>3.1261890000000001E-3</v>
      </c>
      <c r="R22" s="162">
        <v>297.06571350000002</v>
      </c>
      <c r="S22" s="780">
        <v>297.06571350000002</v>
      </c>
      <c r="T22" s="566"/>
    </row>
    <row r="23" spans="2:26" ht="16.5" x14ac:dyDescent="0.35">
      <c r="B23" s="887" t="s">
        <v>19</v>
      </c>
      <c r="C23" s="877" t="s">
        <v>127</v>
      </c>
      <c r="D23" s="781">
        <v>72</v>
      </c>
      <c r="E23" s="193">
        <v>126542</v>
      </c>
      <c r="F23" s="782">
        <v>222</v>
      </c>
      <c r="G23" s="258">
        <f t="shared" si="5"/>
        <v>1.7543582367909468E-3</v>
      </c>
      <c r="H23" s="783">
        <f>1851.22+4.81</f>
        <v>1856.03</v>
      </c>
      <c r="I23" s="186">
        <v>4062.402</v>
      </c>
      <c r="J23" s="186">
        <f>2373.59201+H23</f>
        <v>4229.62201</v>
      </c>
      <c r="K23" s="258">
        <f t="shared" si="6"/>
        <v>1.0411628415897787</v>
      </c>
      <c r="L23" s="781">
        <v>7158.7336193000001</v>
      </c>
      <c r="M23" s="193">
        <v>27604.255000000001</v>
      </c>
      <c r="N23" s="782">
        <v>14317.74977</v>
      </c>
      <c r="O23" s="595">
        <f>N23/M23</f>
        <v>0.51867908661182849</v>
      </c>
      <c r="P23" s="161">
        <f>L23*1.091</f>
        <v>7810.1783786563001</v>
      </c>
      <c r="Q23" s="784">
        <v>2.4798854009999998</v>
      </c>
      <c r="R23" s="785">
        <v>101631.9326148</v>
      </c>
      <c r="S23" s="786">
        <v>206993.01807200001</v>
      </c>
      <c r="T23" s="567"/>
    </row>
    <row r="24" spans="2:26" x14ac:dyDescent="0.35">
      <c r="B24" s="888"/>
      <c r="C24" s="878" t="s">
        <v>21</v>
      </c>
      <c r="D24" s="655">
        <v>1</v>
      </c>
      <c r="E24" s="130">
        <v>25</v>
      </c>
      <c r="F24" s="130">
        <v>1</v>
      </c>
      <c r="G24" s="259">
        <f t="shared" si="5"/>
        <v>0.04</v>
      </c>
      <c r="H24" s="787">
        <f>129.69+1.36</f>
        <v>131.05000000000001</v>
      </c>
      <c r="I24" s="192">
        <v>279.64699999999999</v>
      </c>
      <c r="J24" s="192">
        <f>272.70754+H24</f>
        <v>403.75754000000001</v>
      </c>
      <c r="K24" s="259">
        <f t="shared" si="6"/>
        <v>1.4438114480040909</v>
      </c>
      <c r="L24" s="655">
        <v>241</v>
      </c>
      <c r="M24" s="130">
        <v>800.52599999999995</v>
      </c>
      <c r="N24" s="788">
        <v>241</v>
      </c>
      <c r="O24" s="596">
        <f t="shared" ref="O24:O25" si="7">N24/M24</f>
        <v>0.30105205827168641</v>
      </c>
      <c r="P24" s="148">
        <f>L24*1.077</f>
        <v>259.55700000000002</v>
      </c>
      <c r="Q24" s="789">
        <v>1.6500000000000001E-2</v>
      </c>
      <c r="R24" s="148">
        <v>2217.1999999999998</v>
      </c>
      <c r="S24" s="790">
        <v>2217.1999999999998</v>
      </c>
      <c r="T24" s="567"/>
    </row>
    <row r="25" spans="2:26" ht="15" thickBot="1" x14ac:dyDescent="0.4">
      <c r="B25" s="889"/>
      <c r="C25" s="77" t="s">
        <v>22</v>
      </c>
      <c r="D25" s="791">
        <v>0</v>
      </c>
      <c r="E25" s="260">
        <v>1</v>
      </c>
      <c r="F25" s="260">
        <v>0</v>
      </c>
      <c r="G25" s="261" t="s">
        <v>7</v>
      </c>
      <c r="H25" s="792">
        <f>236.51+0.18</f>
        <v>236.69</v>
      </c>
      <c r="I25" s="262">
        <v>1146.1969999999999</v>
      </c>
      <c r="J25" s="262">
        <f>400.3208+H25</f>
        <v>637.01080000000002</v>
      </c>
      <c r="K25" s="261">
        <f t="shared" si="6"/>
        <v>0.55576030996416859</v>
      </c>
      <c r="L25" s="791">
        <v>0</v>
      </c>
      <c r="M25" s="260">
        <v>607.87900000000002</v>
      </c>
      <c r="N25" s="149">
        <v>0</v>
      </c>
      <c r="O25" s="107">
        <f t="shared" si="7"/>
        <v>0</v>
      </c>
      <c r="P25" s="149">
        <f>L25*1.069</f>
        <v>0</v>
      </c>
      <c r="Q25" s="793">
        <v>0</v>
      </c>
      <c r="R25" s="149">
        <v>0</v>
      </c>
      <c r="S25" s="794">
        <v>0</v>
      </c>
      <c r="T25" s="36"/>
    </row>
    <row r="26" spans="2:26" s="9" customFormat="1" ht="15" thickBot="1" x14ac:dyDescent="0.4">
      <c r="B26" s="137" t="s">
        <v>128</v>
      </c>
      <c r="C26" s="137"/>
      <c r="D26" s="141">
        <f>SUM(D22:D25)</f>
        <v>74</v>
      </c>
      <c r="E26" s="141">
        <f>SUM(E22:E25)</f>
        <v>126748</v>
      </c>
      <c r="F26" s="141">
        <f>SUM(F22:F25)</f>
        <v>224</v>
      </c>
      <c r="G26" s="96">
        <f t="shared" si="5"/>
        <v>1.7672862688168649E-3</v>
      </c>
      <c r="H26" s="82">
        <f>SUM(H22:H25)</f>
        <v>2629.52</v>
      </c>
      <c r="I26" s="82">
        <f>SUM(I22:I25)</f>
        <v>17857.767000000003</v>
      </c>
      <c r="J26" s="82">
        <f>SUM(J22:J25)</f>
        <v>6635.4178599999996</v>
      </c>
      <c r="K26" s="250">
        <f t="shared" si="6"/>
        <v>0.37157041303092364</v>
      </c>
      <c r="L26" s="117">
        <f>SUM(L22:L25)</f>
        <v>7419.5380002000002</v>
      </c>
      <c r="M26" s="112">
        <f>SUM(M22:M25)</f>
        <v>37376.024832112467</v>
      </c>
      <c r="N26" s="112">
        <f>SUM(N22:N25)</f>
        <v>14578.5541509</v>
      </c>
      <c r="O26" s="104">
        <f>N26/M26</f>
        <v>0.39005095422492603</v>
      </c>
      <c r="P26" s="150">
        <f>SUM(P22:P25)</f>
        <v>8091.5003932653999</v>
      </c>
      <c r="Q26" s="181">
        <f>SUM(Q22:Q25)</f>
        <v>2.49951159</v>
      </c>
      <c r="R26" s="112">
        <f>SUM(R22:R25)</f>
        <v>104146.19832829999</v>
      </c>
      <c r="S26" s="168">
        <f>SUM(S22:S25)</f>
        <v>209507.28378550001</v>
      </c>
      <c r="T26" s="39"/>
      <c r="U26"/>
      <c r="V26"/>
      <c r="W26"/>
      <c r="X26"/>
      <c r="Y26"/>
      <c r="Z26"/>
    </row>
    <row r="27" spans="2:26" ht="15" thickBot="1" x14ac:dyDescent="0.4">
      <c r="B27" s="56"/>
      <c r="C27" s="55"/>
      <c r="D27" s="118"/>
      <c r="E27" s="119"/>
      <c r="F27" s="119"/>
      <c r="G27" s="97"/>
      <c r="H27" s="88"/>
      <c r="I27" s="89"/>
      <c r="J27" s="89"/>
      <c r="K27" s="263"/>
      <c r="L27" s="118"/>
      <c r="M27" s="119"/>
      <c r="N27" s="119"/>
      <c r="O27" s="108"/>
      <c r="P27" s="119"/>
      <c r="Q27" s="184"/>
      <c r="R27" s="119"/>
      <c r="S27" s="299"/>
      <c r="T27" s="42"/>
    </row>
    <row r="28" spans="2:26" x14ac:dyDescent="0.35">
      <c r="B28" s="890" t="s">
        <v>129</v>
      </c>
      <c r="C28" s="873" t="s">
        <v>45</v>
      </c>
      <c r="D28" s="795">
        <v>0</v>
      </c>
      <c r="E28" s="128" t="s">
        <v>7</v>
      </c>
      <c r="F28" s="128">
        <v>0</v>
      </c>
      <c r="G28" s="129" t="s">
        <v>7</v>
      </c>
      <c r="H28" s="796">
        <v>0</v>
      </c>
      <c r="I28" s="132" t="s">
        <v>7</v>
      </c>
      <c r="J28" s="797">
        <v>0</v>
      </c>
      <c r="K28" s="264" t="s">
        <v>7</v>
      </c>
      <c r="L28" s="757">
        <v>0</v>
      </c>
      <c r="M28" s="128" t="s">
        <v>7</v>
      </c>
      <c r="N28" s="143">
        <v>0</v>
      </c>
      <c r="O28" s="102" t="s">
        <v>7</v>
      </c>
      <c r="P28" s="143">
        <f t="shared" ref="P28:P31" si="8">L28*1.115</f>
        <v>0</v>
      </c>
      <c r="Q28" s="179">
        <v>0</v>
      </c>
      <c r="R28" s="143">
        <v>0</v>
      </c>
      <c r="S28" s="298">
        <v>0</v>
      </c>
      <c r="T28" s="567"/>
    </row>
    <row r="29" spans="2:26" x14ac:dyDescent="0.35">
      <c r="B29" s="891"/>
      <c r="C29" s="874" t="s">
        <v>18</v>
      </c>
      <c r="D29" s="798">
        <v>874</v>
      </c>
      <c r="E29" s="130" t="s">
        <v>7</v>
      </c>
      <c r="F29" s="130">
        <v>1237</v>
      </c>
      <c r="G29" s="131" t="s">
        <v>7</v>
      </c>
      <c r="H29" s="799">
        <v>0</v>
      </c>
      <c r="I29" s="133" t="s">
        <v>7</v>
      </c>
      <c r="J29" s="133">
        <v>0</v>
      </c>
      <c r="K29" s="259" t="s">
        <v>7</v>
      </c>
      <c r="L29" s="655">
        <v>418.02045340000001</v>
      </c>
      <c r="M29" s="130" t="s">
        <v>7</v>
      </c>
      <c r="N29" s="144">
        <v>687.29463269999997</v>
      </c>
      <c r="O29" s="103" t="s">
        <v>7</v>
      </c>
      <c r="P29" s="144">
        <f t="shared" si="8"/>
        <v>466.09280554100002</v>
      </c>
      <c r="Q29" s="800">
        <v>2.8921891999999998E-2</v>
      </c>
      <c r="R29" s="144">
        <v>4955.4600904999998</v>
      </c>
      <c r="S29" s="801">
        <v>7901.8141260000002</v>
      </c>
      <c r="T29" s="567"/>
    </row>
    <row r="30" spans="2:26" x14ac:dyDescent="0.35">
      <c r="B30" s="891"/>
      <c r="C30" s="874" t="s">
        <v>130</v>
      </c>
      <c r="D30" s="798">
        <v>0</v>
      </c>
      <c r="E30" s="130" t="s">
        <v>7</v>
      </c>
      <c r="F30" s="130">
        <v>0</v>
      </c>
      <c r="G30" s="131" t="s">
        <v>7</v>
      </c>
      <c r="H30" s="799">
        <v>0</v>
      </c>
      <c r="I30" s="133" t="s">
        <v>7</v>
      </c>
      <c r="J30" s="133">
        <v>0</v>
      </c>
      <c r="K30" s="259" t="s">
        <v>7</v>
      </c>
      <c r="L30" s="655">
        <v>0</v>
      </c>
      <c r="M30" s="130" t="s">
        <v>7</v>
      </c>
      <c r="N30" s="144">
        <v>0</v>
      </c>
      <c r="O30" s="103" t="s">
        <v>7</v>
      </c>
      <c r="P30" s="144">
        <f t="shared" si="8"/>
        <v>0</v>
      </c>
      <c r="Q30" s="800">
        <v>0</v>
      </c>
      <c r="R30" s="144">
        <v>0</v>
      </c>
      <c r="S30" s="801">
        <v>0</v>
      </c>
      <c r="T30" s="567"/>
    </row>
    <row r="31" spans="2:26" x14ac:dyDescent="0.35">
      <c r="B31" s="891"/>
      <c r="C31" s="874" t="s">
        <v>22</v>
      </c>
      <c r="D31" s="798">
        <v>0</v>
      </c>
      <c r="E31" s="130" t="s">
        <v>7</v>
      </c>
      <c r="F31" s="130">
        <v>0</v>
      </c>
      <c r="G31" s="131" t="s">
        <v>7</v>
      </c>
      <c r="H31" s="799">
        <v>0</v>
      </c>
      <c r="I31" s="133" t="s">
        <v>7</v>
      </c>
      <c r="J31" s="133">
        <v>0</v>
      </c>
      <c r="K31" s="259" t="s">
        <v>7</v>
      </c>
      <c r="L31" s="655">
        <v>0</v>
      </c>
      <c r="M31" s="130" t="s">
        <v>7</v>
      </c>
      <c r="N31" s="144">
        <v>0</v>
      </c>
      <c r="O31" s="103" t="s">
        <v>7</v>
      </c>
      <c r="P31" s="144">
        <f t="shared" si="8"/>
        <v>0</v>
      </c>
      <c r="Q31" s="800">
        <v>0</v>
      </c>
      <c r="R31" s="144">
        <v>0</v>
      </c>
      <c r="S31" s="801">
        <v>0</v>
      </c>
      <c r="T31" s="567"/>
    </row>
    <row r="32" spans="2:26" ht="15" thickBot="1" x14ac:dyDescent="0.4">
      <c r="B32" s="134"/>
      <c r="C32" s="159" t="s">
        <v>131</v>
      </c>
      <c r="D32" s="154">
        <f>SUM(D28:D31)</f>
        <v>874</v>
      </c>
      <c r="E32" s="155">
        <v>2088</v>
      </c>
      <c r="F32" s="155">
        <f>SUM(F28:F31)</f>
        <v>1237</v>
      </c>
      <c r="G32" s="156">
        <f t="shared" ref="G32" si="9">F32/E32</f>
        <v>0.59243295019157083</v>
      </c>
      <c r="H32" s="643">
        <f>149.07+0.66</f>
        <v>149.72999999999999</v>
      </c>
      <c r="I32" s="187">
        <v>1364.884</v>
      </c>
      <c r="J32" s="187">
        <f>312.31705+H32</f>
        <v>462.04705000000001</v>
      </c>
      <c r="K32" s="157">
        <f>J32/I32</f>
        <v>0.33852477573185707</v>
      </c>
      <c r="L32" s="154">
        <f>SUM(L28:L31)</f>
        <v>418.02045340000001</v>
      </c>
      <c r="M32" s="155">
        <v>2298.1190000000001</v>
      </c>
      <c r="N32" s="158">
        <f>SUM(N28:N31)</f>
        <v>687.29463269999997</v>
      </c>
      <c r="O32" s="476">
        <f>N32/M32</f>
        <v>0.2990683392374372</v>
      </c>
      <c r="P32" s="160">
        <f t="shared" ref="P32:R32" si="10">SUM(P28:P31)</f>
        <v>466.09280554100002</v>
      </c>
      <c r="Q32" s="180">
        <f t="shared" si="10"/>
        <v>2.8921891999999998E-2</v>
      </c>
      <c r="R32" s="160">
        <f t="shared" si="10"/>
        <v>4955.4600904999998</v>
      </c>
      <c r="S32" s="300">
        <f t="shared" ref="S32" si="11">SUM(S28:S31)</f>
        <v>7901.8141260000002</v>
      </c>
      <c r="T32" s="42"/>
    </row>
    <row r="33" spans="2:22" ht="15" thickBot="1" x14ac:dyDescent="0.4">
      <c r="B33" s="56"/>
      <c r="C33" s="55"/>
      <c r="D33" s="118"/>
      <c r="E33" s="119"/>
      <c r="F33" s="119"/>
      <c r="G33" s="97"/>
      <c r="H33" s="189"/>
      <c r="I33" s="190"/>
      <c r="J33" s="190"/>
      <c r="K33" s="265"/>
      <c r="L33" s="118"/>
      <c r="M33" s="119"/>
      <c r="N33" s="119"/>
      <c r="O33" s="108"/>
      <c r="P33" s="119"/>
      <c r="Q33" s="184"/>
      <c r="R33" s="119"/>
      <c r="S33" s="299"/>
      <c r="T33" s="39"/>
    </row>
    <row r="34" spans="2:22" ht="15" thickBot="1" x14ac:dyDescent="0.4">
      <c r="B34" s="137" t="s">
        <v>37</v>
      </c>
      <c r="C34" s="137"/>
      <c r="D34" s="138"/>
      <c r="E34" s="139"/>
      <c r="F34" s="139"/>
      <c r="G34" s="140"/>
      <c r="H34" s="188"/>
      <c r="I34" s="82"/>
      <c r="J34" s="82"/>
      <c r="K34" s="93"/>
      <c r="L34" s="138"/>
      <c r="M34" s="139"/>
      <c r="N34" s="266"/>
      <c r="O34" s="267"/>
      <c r="P34" s="266"/>
      <c r="Q34" s="268"/>
      <c r="R34" s="139"/>
      <c r="S34" s="269"/>
      <c r="T34" s="36"/>
    </row>
    <row r="35" spans="2:22" x14ac:dyDescent="0.35">
      <c r="B35" s="135" t="s">
        <v>132</v>
      </c>
      <c r="C35" s="136"/>
      <c r="D35" s="211" t="s">
        <v>7</v>
      </c>
      <c r="E35" s="212" t="s">
        <v>7</v>
      </c>
      <c r="F35" s="212" t="s">
        <v>7</v>
      </c>
      <c r="G35" s="270" t="s">
        <v>7</v>
      </c>
      <c r="H35" s="271" t="s">
        <v>7</v>
      </c>
      <c r="I35" s="272" t="s">
        <v>7</v>
      </c>
      <c r="J35" s="272" t="s">
        <v>7</v>
      </c>
      <c r="K35" s="306" t="s">
        <v>7</v>
      </c>
      <c r="L35" s="211" t="s">
        <v>7</v>
      </c>
      <c r="M35" s="212" t="s">
        <v>7</v>
      </c>
      <c r="N35" s="143" t="s">
        <v>7</v>
      </c>
      <c r="O35" s="102" t="s">
        <v>7</v>
      </c>
      <c r="P35" s="143" t="s">
        <v>7</v>
      </c>
      <c r="Q35" s="179" t="s">
        <v>7</v>
      </c>
      <c r="R35" s="143" t="s">
        <v>7</v>
      </c>
      <c r="S35" s="298" t="s">
        <v>7</v>
      </c>
      <c r="T35" s="39"/>
    </row>
    <row r="36" spans="2:22" ht="15" thickBot="1" x14ac:dyDescent="0.4">
      <c r="B36" s="8" t="s">
        <v>133</v>
      </c>
      <c r="C36" s="15"/>
      <c r="D36" s="121">
        <f>SUM(D35)</f>
        <v>0</v>
      </c>
      <c r="E36" s="122">
        <f>SUM(E35)</f>
        <v>0</v>
      </c>
      <c r="F36" s="122">
        <f>SUM(F35)</f>
        <v>0</v>
      </c>
      <c r="G36" s="98" t="s">
        <v>7</v>
      </c>
      <c r="H36" s="90">
        <f>SUM(H35)</f>
        <v>0</v>
      </c>
      <c r="I36" s="91">
        <f>SUM(I35)</f>
        <v>0</v>
      </c>
      <c r="J36" s="91">
        <f>SUM(J35)</f>
        <v>0</v>
      </c>
      <c r="K36" s="206" t="s">
        <v>7</v>
      </c>
      <c r="L36" s="121">
        <f>SUM(L35)</f>
        <v>0</v>
      </c>
      <c r="M36" s="122">
        <f>SUM(M35)</f>
        <v>0</v>
      </c>
      <c r="N36" s="122">
        <f>SUM(N35)</f>
        <v>0</v>
      </c>
      <c r="O36" s="109" t="s">
        <v>7</v>
      </c>
      <c r="P36" s="122">
        <f>SUM(P35)</f>
        <v>0</v>
      </c>
      <c r="Q36" s="185">
        <f>SUM(Q35)</f>
        <v>0</v>
      </c>
      <c r="R36" s="122">
        <f>SUM(R35)</f>
        <v>0</v>
      </c>
      <c r="S36" s="301">
        <f>SUM(S35)</f>
        <v>0</v>
      </c>
      <c r="T36" s="42"/>
    </row>
    <row r="37" spans="2:22" ht="15" thickBot="1" x14ac:dyDescent="0.4">
      <c r="B37" s="16"/>
      <c r="C37" s="17"/>
      <c r="D37" s="123"/>
      <c r="E37" s="114"/>
      <c r="F37" s="114"/>
      <c r="G37" s="99"/>
      <c r="H37" s="92"/>
      <c r="I37" s="85"/>
      <c r="J37" s="85"/>
      <c r="K37" s="307"/>
      <c r="L37" s="207"/>
      <c r="M37" s="208"/>
      <c r="N37" s="208"/>
      <c r="O37" s="209"/>
      <c r="P37" s="208"/>
      <c r="Q37" s="210"/>
      <c r="R37" s="208"/>
      <c r="S37" s="313"/>
      <c r="T37" s="39"/>
    </row>
    <row r="38" spans="2:22" ht="15" thickBot="1" x14ac:dyDescent="0.4">
      <c r="B38" s="19" t="s">
        <v>134</v>
      </c>
      <c r="C38" s="20"/>
      <c r="D38" s="124"/>
      <c r="E38" s="125"/>
      <c r="F38" s="125"/>
      <c r="G38" s="173"/>
      <c r="H38" s="747">
        <f>11.27</f>
        <v>11.27</v>
      </c>
      <c r="I38" s="747">
        <v>950</v>
      </c>
      <c r="J38" s="747">
        <f>20.44051+H38</f>
        <v>31.710509999999999</v>
      </c>
      <c r="K38" s="308">
        <f>J38/I38</f>
        <v>3.3379484210526313E-2</v>
      </c>
      <c r="L38" s="124"/>
      <c r="M38" s="125"/>
      <c r="N38" s="125"/>
      <c r="O38" s="110"/>
      <c r="P38" s="125"/>
      <c r="Q38" s="125"/>
      <c r="R38" s="125"/>
      <c r="S38" s="302"/>
      <c r="T38" s="11"/>
      <c r="U38" s="9"/>
      <c r="V38" s="9"/>
    </row>
    <row r="39" spans="2:22" ht="15" thickBot="1" x14ac:dyDescent="0.4">
      <c r="B39" s="8" t="s">
        <v>36</v>
      </c>
      <c r="C39" s="15"/>
      <c r="D39" s="121">
        <f>SUM(D36,D32,D26,D19)</f>
        <v>293757</v>
      </c>
      <c r="E39" s="122">
        <f>SUM(E36,E32,E26,E19)</f>
        <v>217271</v>
      </c>
      <c r="F39" s="122">
        <f>SUM(F36,F32,F26,F19)</f>
        <v>401149</v>
      </c>
      <c r="G39" s="98">
        <f>F39/E39</f>
        <v>1.8463071463748038</v>
      </c>
      <c r="H39" s="353">
        <f>SUM(H36,H32,H26,H19,H38)</f>
        <v>5098.72</v>
      </c>
      <c r="I39" s="350">
        <f>SUM(I36,I32,I26,I19,I38)</f>
        <v>36024.391000000003</v>
      </c>
      <c r="J39" s="350">
        <f>SUM(J36,J32,J26,J19,J38)</f>
        <v>13524.35563</v>
      </c>
      <c r="K39" s="308">
        <f>J39/I39</f>
        <v>0.37542218631815311</v>
      </c>
      <c r="L39" s="121">
        <f>SUM(L36,L32,L26,L19)</f>
        <v>22058.698766697002</v>
      </c>
      <c r="M39" s="122">
        <f>SUM(M36,M32,M26,M19)</f>
        <v>59555.727832112461</v>
      </c>
      <c r="N39" s="122">
        <f>SUM(N36,N32,N26,N19)</f>
        <v>53162.394799387999</v>
      </c>
      <c r="O39" s="109">
        <f>N39/M39</f>
        <v>0.89264956931183415</v>
      </c>
      <c r="P39" s="122">
        <f>SUM(P36,P32,P26,P19)</f>
        <v>24414.164647909558</v>
      </c>
      <c r="Q39" s="185">
        <f>SUM(Q36,Q32,Q26,Q19)</f>
        <v>7.7064245845564532</v>
      </c>
      <c r="R39" s="122">
        <f>SUM(R36,R32,R26,R19)</f>
        <v>283679.95134473592</v>
      </c>
      <c r="S39" s="301">
        <f>SUM(S36,S32,S26,S19)</f>
        <v>654374.16449168802</v>
      </c>
      <c r="T39" s="39"/>
    </row>
    <row r="40" spans="2:22" ht="16.5" x14ac:dyDescent="0.35">
      <c r="B40" s="21" t="s">
        <v>135</v>
      </c>
      <c r="C40" s="9"/>
      <c r="D40" s="9"/>
      <c r="E40" s="9"/>
      <c r="F40" s="9"/>
      <c r="G40" s="9"/>
      <c r="H40" s="9"/>
      <c r="I40" s="9"/>
      <c r="J40" s="213"/>
      <c r="K40" s="9"/>
      <c r="L40" s="354"/>
      <c r="M40" s="9"/>
      <c r="N40" s="214"/>
      <c r="O40" s="9"/>
      <c r="P40" s="9"/>
      <c r="Q40" s="9"/>
      <c r="R40" s="354"/>
      <c r="S40" s="11"/>
      <c r="T40" s="11"/>
      <c r="U40" s="9"/>
      <c r="V40" s="9"/>
    </row>
    <row r="41" spans="2:22" ht="16.5" x14ac:dyDescent="0.35">
      <c r="B41" s="21" t="s">
        <v>136</v>
      </c>
      <c r="C41" s="9"/>
      <c r="D41" s="9"/>
      <c r="E41" s="9"/>
      <c r="F41" s="9"/>
      <c r="G41" s="9"/>
      <c r="H41" s="9"/>
      <c r="I41" s="9"/>
      <c r="J41" s="9"/>
      <c r="K41" s="9"/>
      <c r="L41" s="9"/>
      <c r="M41" s="9"/>
      <c r="N41" s="9"/>
      <c r="O41" s="9"/>
      <c r="P41" s="9"/>
      <c r="Q41" s="9"/>
      <c r="R41" s="9"/>
    </row>
    <row r="42" spans="2:22" ht="16.5" x14ac:dyDescent="0.35">
      <c r="B42" t="s">
        <v>137</v>
      </c>
      <c r="N42"/>
      <c r="O42"/>
      <c r="P42"/>
      <c r="Q42"/>
      <c r="S42"/>
    </row>
    <row r="43" spans="2:22" ht="16.5" x14ac:dyDescent="0.35">
      <c r="B43" s="21" t="s">
        <v>138</v>
      </c>
    </row>
    <row r="44" spans="2:22" x14ac:dyDescent="0.35">
      <c r="B44" t="s">
        <v>139</v>
      </c>
    </row>
    <row r="48" spans="2:22" x14ac:dyDescent="0.35">
      <c r="K48" s="163"/>
    </row>
    <row r="49" spans="11:20" x14ac:dyDescent="0.35">
      <c r="K49" s="163"/>
    </row>
    <row r="50" spans="11:20" x14ac:dyDescent="0.35">
      <c r="K50" s="163"/>
    </row>
    <row r="51" spans="11:20" x14ac:dyDescent="0.35">
      <c r="K51" s="163"/>
    </row>
    <row r="52" spans="11:20" x14ac:dyDescent="0.35">
      <c r="K52" s="163"/>
    </row>
    <row r="53" spans="11:20" x14ac:dyDescent="0.35">
      <c r="K53" s="163"/>
    </row>
    <row r="54" spans="11:20" x14ac:dyDescent="0.35">
      <c r="K54" s="163"/>
    </row>
    <row r="55" spans="11:20" x14ac:dyDescent="0.35">
      <c r="K55" s="163"/>
    </row>
    <row r="56" spans="11:20" x14ac:dyDescent="0.35">
      <c r="K56" s="163"/>
    </row>
    <row r="57" spans="11:20" x14ac:dyDescent="0.35">
      <c r="K57" s="163"/>
    </row>
    <row r="58" spans="11:20" x14ac:dyDescent="0.35">
      <c r="K58" s="163"/>
    </row>
    <row r="59" spans="11:20" x14ac:dyDescent="0.35">
      <c r="K59" s="163"/>
    </row>
    <row r="61" spans="11:20" x14ac:dyDescent="0.35">
      <c r="K61" s="163"/>
      <c r="M61" s="2"/>
      <c r="P61" s="3"/>
      <c r="Q61"/>
      <c r="T61"/>
    </row>
    <row r="62" spans="11:20" x14ac:dyDescent="0.35">
      <c r="K62" s="163"/>
      <c r="M62" s="2"/>
      <c r="P62" s="3"/>
      <c r="Q62"/>
      <c r="T62"/>
    </row>
    <row r="63" spans="11:20" x14ac:dyDescent="0.35">
      <c r="K63" s="163"/>
      <c r="M63" s="2"/>
      <c r="P63" s="3"/>
      <c r="Q63"/>
      <c r="T63"/>
    </row>
    <row r="64" spans="11:20" x14ac:dyDescent="0.35">
      <c r="K64" s="163"/>
      <c r="M64" s="2"/>
      <c r="P64" s="3"/>
      <c r="Q64"/>
      <c r="T64"/>
    </row>
    <row r="65" spans="11:20" x14ac:dyDescent="0.35">
      <c r="K65" s="163"/>
      <c r="M65" s="2"/>
      <c r="P65" s="3"/>
      <c r="Q65"/>
      <c r="T65"/>
    </row>
    <row r="66" spans="11:20" x14ac:dyDescent="0.35">
      <c r="K66" s="163"/>
      <c r="M66" s="2"/>
      <c r="P66" s="3"/>
      <c r="Q66"/>
      <c r="T66"/>
    </row>
    <row r="67" spans="11:20" x14ac:dyDescent="0.35">
      <c r="K67" s="163"/>
      <c r="M67" s="2"/>
      <c r="P67" s="3"/>
      <c r="Q67"/>
      <c r="T67"/>
    </row>
    <row r="68" spans="11:20" x14ac:dyDescent="0.35">
      <c r="K68" s="163"/>
      <c r="M68" s="2"/>
      <c r="P68" s="3"/>
      <c r="Q68"/>
      <c r="T68"/>
    </row>
    <row r="69" spans="11:20" x14ac:dyDescent="0.35">
      <c r="K69" s="163"/>
      <c r="M69" s="2"/>
      <c r="P69" s="3"/>
      <c r="Q69"/>
      <c r="T69"/>
    </row>
    <row r="70" spans="11:20" x14ac:dyDescent="0.35">
      <c r="K70" s="163"/>
      <c r="M70" s="2"/>
      <c r="P70" s="3"/>
      <c r="Q70"/>
      <c r="T70"/>
    </row>
    <row r="71" spans="11:20" x14ac:dyDescent="0.35">
      <c r="K71" s="163"/>
      <c r="M71" s="2"/>
      <c r="P71" s="3"/>
      <c r="Q71"/>
      <c r="T71"/>
    </row>
    <row r="72" spans="11:20" x14ac:dyDescent="0.35">
      <c r="K72" s="163"/>
      <c r="M72" s="2"/>
      <c r="P72" s="3"/>
      <c r="Q72"/>
      <c r="T72"/>
    </row>
  </sheetData>
  <mergeCells count="7">
    <mergeCell ref="L4:S4"/>
    <mergeCell ref="D4:G4"/>
    <mergeCell ref="H4:K4"/>
    <mergeCell ref="B28:B31"/>
    <mergeCell ref="B23:B25"/>
    <mergeCell ref="B8:B13"/>
    <mergeCell ref="B15:B17"/>
  </mergeCells>
  <pageMargins left="0.25" right="0.25" top="0.75" bottom="0.75" header="0.3" footer="0.3"/>
  <pageSetup scale="43" fitToHeight="0" orientation="landscape" r:id="rId1"/>
  <headerFooter>
    <oddHeader xml:space="preserve">&amp;CACE Q2 of Program Year 2022 Portfolio Summary Reporting Table </oddHeader>
    <oddFooter>&amp;C&amp;N&amp;R&amp;D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29"/>
  <sheetViews>
    <sheetView showGridLines="0" zoomScale="140" zoomScaleNormal="140" zoomScaleSheetLayoutView="100" workbookViewId="0">
      <selection activeCell="D2" sqref="D2"/>
    </sheetView>
  </sheetViews>
  <sheetFormatPr defaultColWidth="9.26953125" defaultRowHeight="14.5" x14ac:dyDescent="0.35"/>
  <cols>
    <col min="1" max="1" width="4.26953125" customWidth="1"/>
    <col min="2" max="2" width="22.1796875" customWidth="1"/>
    <col min="3" max="3" width="39.453125" customWidth="1"/>
    <col min="4" max="8" width="13.54296875" customWidth="1"/>
    <col min="9" max="9" width="14.54296875" customWidth="1"/>
    <col min="10" max="10" width="16.26953125" customWidth="1"/>
    <col min="11" max="11" width="16.26953125" style="4" customWidth="1"/>
    <col min="12" max="13" width="16.26953125" customWidth="1"/>
    <col min="14" max="15" width="15.7265625" style="2" customWidth="1"/>
    <col min="16" max="16" width="13.54296875" customWidth="1"/>
    <col min="20" max="20" width="9.26953125" customWidth="1"/>
  </cols>
  <sheetData>
    <row r="1" spans="1:15" ht="23.5" x14ac:dyDescent="0.55000000000000004">
      <c r="A1" s="1" t="s">
        <v>47</v>
      </c>
      <c r="K1" s="37"/>
      <c r="N1" s="36"/>
      <c r="O1" s="36"/>
    </row>
    <row r="2" spans="1:15" x14ac:dyDescent="0.35">
      <c r="K2" s="37"/>
      <c r="N2" s="36"/>
      <c r="O2" s="36"/>
    </row>
    <row r="3" spans="1:15" ht="19" thickBot="1" x14ac:dyDescent="0.5">
      <c r="A3" s="5"/>
      <c r="B3" s="5" t="s">
        <v>55</v>
      </c>
      <c r="C3" s="5"/>
      <c r="D3" s="5"/>
      <c r="E3" s="5"/>
      <c r="F3" s="5"/>
      <c r="G3" s="5"/>
      <c r="H3" s="5"/>
      <c r="K3" s="47"/>
      <c r="N3" s="36"/>
      <c r="O3" s="36"/>
    </row>
    <row r="4" spans="1:15" ht="43.15" customHeight="1" thickBot="1" x14ac:dyDescent="0.4">
      <c r="A4" t="s">
        <v>56</v>
      </c>
      <c r="B4" s="570"/>
      <c r="C4" s="875"/>
      <c r="D4" s="909" t="s">
        <v>57</v>
      </c>
      <c r="E4" s="909"/>
      <c r="F4" s="910" t="s">
        <v>140</v>
      </c>
      <c r="G4" s="911"/>
      <c r="H4" s="912" t="s">
        <v>59</v>
      </c>
      <c r="I4" s="913"/>
      <c r="K4" s="37"/>
      <c r="M4" s="44" t="s">
        <v>57</v>
      </c>
      <c r="N4" s="44"/>
      <c r="O4" s="44"/>
    </row>
    <row r="5" spans="1:15" ht="21" customHeight="1" thickBot="1" x14ac:dyDescent="0.4">
      <c r="B5" s="571"/>
      <c r="C5" s="331"/>
      <c r="D5" s="330" t="s">
        <v>61</v>
      </c>
      <c r="E5" s="62" t="s">
        <v>62</v>
      </c>
      <c r="F5" s="66" t="s">
        <v>63</v>
      </c>
      <c r="G5" s="67" t="s">
        <v>141</v>
      </c>
      <c r="H5" s="59" t="s">
        <v>65</v>
      </c>
      <c r="I5" s="572" t="s">
        <v>66</v>
      </c>
      <c r="K5" s="37"/>
      <c r="N5" s="36"/>
      <c r="O5" s="36"/>
    </row>
    <row r="6" spans="1:15" ht="52.5" customHeight="1" thickBot="1" x14ac:dyDescent="0.4">
      <c r="B6" s="573"/>
      <c r="C6" s="332"/>
      <c r="D6" s="904" t="s">
        <v>43</v>
      </c>
      <c r="E6" s="904"/>
      <c r="F6" s="905" t="s">
        <v>142</v>
      </c>
      <c r="G6" s="906"/>
      <c r="H6" s="907" t="s">
        <v>143</v>
      </c>
      <c r="I6" s="908"/>
      <c r="K6" s="37"/>
      <c r="N6" s="36"/>
      <c r="O6" s="36"/>
    </row>
    <row r="7" spans="1:15" ht="29.5" thickBot="1" x14ac:dyDescent="0.4">
      <c r="B7" s="574" t="s">
        <v>102</v>
      </c>
      <c r="C7" s="372" t="s">
        <v>144</v>
      </c>
      <c r="D7" s="61" t="s">
        <v>110</v>
      </c>
      <c r="E7" s="74" t="s">
        <v>145</v>
      </c>
      <c r="F7" s="61" t="s">
        <v>110</v>
      </c>
      <c r="G7" s="74" t="s">
        <v>145</v>
      </c>
      <c r="H7" s="61" t="s">
        <v>110</v>
      </c>
      <c r="I7" s="575" t="s">
        <v>145</v>
      </c>
      <c r="J7" s="39"/>
      <c r="K7" s="40"/>
      <c r="L7" s="39"/>
      <c r="M7" s="39"/>
      <c r="N7" s="39"/>
      <c r="O7" s="39"/>
    </row>
    <row r="8" spans="1:15" x14ac:dyDescent="0.35">
      <c r="B8" s="914" t="s">
        <v>24</v>
      </c>
      <c r="C8" s="373" t="s">
        <v>8</v>
      </c>
      <c r="D8" s="823">
        <v>45</v>
      </c>
      <c r="E8" s="824">
        <v>909</v>
      </c>
      <c r="F8" s="825">
        <v>18.611000000000001</v>
      </c>
      <c r="G8" s="861">
        <v>314.7</v>
      </c>
      <c r="H8" s="865">
        <v>19</v>
      </c>
      <c r="I8" s="866">
        <v>450.52264079999998</v>
      </c>
      <c r="J8" s="36"/>
      <c r="K8" s="41"/>
      <c r="L8" s="36"/>
      <c r="M8" s="36"/>
      <c r="N8" s="36"/>
      <c r="O8" s="36"/>
    </row>
    <row r="9" spans="1:15" x14ac:dyDescent="0.35">
      <c r="B9" s="915"/>
      <c r="C9" s="374" t="s">
        <v>12</v>
      </c>
      <c r="D9" s="827">
        <v>29487</v>
      </c>
      <c r="E9" s="828">
        <v>0</v>
      </c>
      <c r="F9" s="829">
        <v>0.27710000000000001</v>
      </c>
      <c r="G9" s="862">
        <v>0</v>
      </c>
      <c r="H9" s="867">
        <v>8237.5081484599996</v>
      </c>
      <c r="I9" s="868">
        <v>0</v>
      </c>
      <c r="J9" s="2"/>
      <c r="K9" s="41"/>
      <c r="L9" s="36"/>
      <c r="M9" s="36"/>
      <c r="N9" s="36"/>
      <c r="O9" s="36"/>
    </row>
    <row r="10" spans="1:15" ht="15" thickBot="1" x14ac:dyDescent="0.4">
      <c r="B10" s="915"/>
      <c r="C10" s="294" t="s">
        <v>146</v>
      </c>
      <c r="D10" s="827">
        <v>0</v>
      </c>
      <c r="E10" s="828">
        <v>138443</v>
      </c>
      <c r="F10" s="829">
        <v>0</v>
      </c>
      <c r="G10" s="862">
        <f>174.7+95.95+428.879+129.861</f>
        <v>829.39</v>
      </c>
      <c r="H10" s="869">
        <v>0</v>
      </c>
      <c r="I10" s="870">
        <f>321.6590731+1778.51200000001+267.396493061999+20021.22182202</f>
        <v>22388.789388182009</v>
      </c>
      <c r="J10" s="2"/>
      <c r="K10" s="41"/>
      <c r="L10" s="36"/>
      <c r="M10" s="36"/>
      <c r="N10" s="36"/>
      <c r="O10" s="36"/>
    </row>
    <row r="11" spans="1:15" ht="14.5" customHeight="1" x14ac:dyDescent="0.35">
      <c r="B11" s="914" t="s">
        <v>25</v>
      </c>
      <c r="C11" s="373" t="s">
        <v>147</v>
      </c>
      <c r="D11" s="823">
        <v>8</v>
      </c>
      <c r="E11" s="824">
        <v>34</v>
      </c>
      <c r="F11" s="825">
        <f>27.869+23.8</f>
        <v>51.668999999999997</v>
      </c>
      <c r="G11" s="826">
        <v>128.27500000000001</v>
      </c>
      <c r="H11" s="863">
        <v>12.666586969999999</v>
      </c>
      <c r="I11" s="864">
        <v>25.497512879999999</v>
      </c>
      <c r="J11" s="45"/>
      <c r="K11" s="45"/>
      <c r="L11" s="45"/>
      <c r="M11" s="36"/>
      <c r="N11" s="36"/>
      <c r="O11" s="36"/>
    </row>
    <row r="12" spans="1:15" ht="14.5" customHeight="1" x14ac:dyDescent="0.35">
      <c r="B12" s="915"/>
      <c r="C12" s="375" t="s">
        <v>148</v>
      </c>
      <c r="D12" s="827">
        <v>2047</v>
      </c>
      <c r="E12" s="828">
        <v>943</v>
      </c>
      <c r="F12" s="829">
        <v>415.161</v>
      </c>
      <c r="G12" s="830">
        <v>212.989</v>
      </c>
      <c r="H12" s="833">
        <v>877.48110259999999</v>
      </c>
      <c r="I12" s="834">
        <v>542.1496492</v>
      </c>
      <c r="J12" s="45"/>
      <c r="K12" s="45"/>
      <c r="L12" s="45"/>
      <c r="M12" s="36"/>
      <c r="N12" s="36"/>
      <c r="O12" s="36"/>
    </row>
    <row r="13" spans="1:15" ht="14.5" customHeight="1" thickBot="1" x14ac:dyDescent="0.4">
      <c r="B13" s="915"/>
      <c r="C13" s="376" t="s">
        <v>15</v>
      </c>
      <c r="D13" s="835">
        <f>'Qtr Electric Master'!F17</f>
        <v>107</v>
      </c>
      <c r="E13" s="836" t="s">
        <v>7</v>
      </c>
      <c r="F13" s="837">
        <v>63.893999999999998</v>
      </c>
      <c r="G13" s="838" t="s">
        <v>7</v>
      </c>
      <c r="H13" s="839">
        <f>'Qtr Electric Master'!N17</f>
        <v>109.40472579999999</v>
      </c>
      <c r="I13" s="840" t="s">
        <v>7</v>
      </c>
      <c r="J13" s="45"/>
      <c r="K13" s="45"/>
      <c r="L13" s="45"/>
      <c r="M13" s="36"/>
      <c r="N13" s="36"/>
      <c r="O13" s="36"/>
    </row>
    <row r="14" spans="1:15" ht="29.5" thickBot="1" x14ac:dyDescent="0.4">
      <c r="B14" s="876" t="s">
        <v>26</v>
      </c>
      <c r="C14" s="377" t="s">
        <v>16</v>
      </c>
      <c r="D14" s="823" t="s">
        <v>149</v>
      </c>
      <c r="E14" s="824" t="s">
        <v>149</v>
      </c>
      <c r="F14" s="825" t="s">
        <v>149</v>
      </c>
      <c r="G14" s="826" t="s">
        <v>149</v>
      </c>
      <c r="H14" s="831" t="s">
        <v>149</v>
      </c>
      <c r="I14" s="841" t="s">
        <v>149</v>
      </c>
      <c r="J14" s="36"/>
      <c r="K14" s="37"/>
      <c r="L14" s="36"/>
      <c r="M14" s="36"/>
      <c r="N14" s="36"/>
      <c r="O14" s="36"/>
    </row>
    <row r="15" spans="1:15" ht="15" thickBot="1" x14ac:dyDescent="0.4">
      <c r="B15" s="576" t="s">
        <v>124</v>
      </c>
      <c r="C15" s="378"/>
      <c r="D15" s="370">
        <f t="shared" ref="D15:I15" si="0">SUM(D8:D14)</f>
        <v>31694</v>
      </c>
      <c r="E15" s="383">
        <f t="shared" si="0"/>
        <v>140329</v>
      </c>
      <c r="F15" s="384">
        <f t="shared" si="0"/>
        <v>549.61209999999994</v>
      </c>
      <c r="G15" s="385">
        <f t="shared" si="0"/>
        <v>1485.354</v>
      </c>
      <c r="H15" s="388">
        <f t="shared" si="0"/>
        <v>9256.0605638299985</v>
      </c>
      <c r="I15" s="577">
        <f t="shared" si="0"/>
        <v>23406.959191062011</v>
      </c>
      <c r="J15" s="569"/>
      <c r="K15" s="568"/>
      <c r="L15" s="39"/>
      <c r="M15" s="39"/>
      <c r="N15" s="39"/>
      <c r="O15" s="39"/>
    </row>
    <row r="16" spans="1:15" ht="15" thickBot="1" x14ac:dyDescent="0.4">
      <c r="B16" s="578"/>
      <c r="C16" s="379"/>
      <c r="D16" s="51"/>
      <c r="E16" s="64"/>
      <c r="F16" s="51"/>
      <c r="G16" s="18"/>
      <c r="H16" s="16"/>
      <c r="I16" s="579"/>
      <c r="J16" s="42"/>
      <c r="K16" s="42"/>
      <c r="L16" s="42"/>
      <c r="M16" s="42"/>
      <c r="N16" s="42"/>
      <c r="O16" s="42"/>
    </row>
    <row r="17" spans="2:30" x14ac:dyDescent="0.35">
      <c r="B17" s="902" t="s">
        <v>23</v>
      </c>
      <c r="C17" s="69" t="s">
        <v>45</v>
      </c>
      <c r="D17" s="831">
        <v>0</v>
      </c>
      <c r="E17" s="842">
        <v>0</v>
      </c>
      <c r="F17" s="843">
        <v>0</v>
      </c>
      <c r="G17" s="844">
        <v>0</v>
      </c>
      <c r="H17" s="831">
        <v>0</v>
      </c>
      <c r="I17" s="832">
        <v>0</v>
      </c>
      <c r="J17" s="4"/>
      <c r="L17" s="4"/>
      <c r="M17" s="36"/>
      <c r="N17" s="42"/>
      <c r="O17" s="42"/>
    </row>
    <row r="18" spans="2:30" ht="16.5" x14ac:dyDescent="0.35">
      <c r="B18" s="903"/>
      <c r="C18" s="460" t="s">
        <v>150</v>
      </c>
      <c r="D18" s="845">
        <v>1113</v>
      </c>
      <c r="E18" s="846">
        <v>124</v>
      </c>
      <c r="F18" s="847">
        <v>167.345</v>
      </c>
      <c r="G18" s="848">
        <v>15.833</v>
      </c>
      <c r="H18" s="845">
        <v>661.89430979999997</v>
      </c>
      <c r="I18" s="849">
        <v>25.400334780000001</v>
      </c>
      <c r="J18" s="4"/>
      <c r="L18" s="4"/>
      <c r="M18" s="36"/>
      <c r="N18" s="42"/>
      <c r="O18" s="42"/>
    </row>
    <row r="19" spans="2:30" x14ac:dyDescent="0.35">
      <c r="B19" s="576" t="s">
        <v>151</v>
      </c>
      <c r="C19" s="378"/>
      <c r="D19" s="326">
        <f>SUM(D17:D18)</f>
        <v>1113</v>
      </c>
      <c r="E19" s="371">
        <f t="shared" ref="E19" si="1">SUM(E17:E18)</f>
        <v>124</v>
      </c>
      <c r="F19" s="384">
        <f>SUM(F17:F18)</f>
        <v>167.345</v>
      </c>
      <c r="G19" s="385">
        <f>SUM(G17:G18)</f>
        <v>15.833</v>
      </c>
      <c r="H19" s="326">
        <f>SUM(H17:H18)</f>
        <v>661.89430979999997</v>
      </c>
      <c r="I19" s="577">
        <f>SUM(I17:I18)</f>
        <v>25.400334780000001</v>
      </c>
      <c r="J19" s="42"/>
      <c r="K19" s="42"/>
      <c r="L19" s="42"/>
      <c r="M19" s="42"/>
      <c r="N19" s="42"/>
      <c r="O19" s="42"/>
    </row>
    <row r="20" spans="2:30" ht="15" thickBot="1" x14ac:dyDescent="0.4">
      <c r="B20" s="578"/>
      <c r="C20" s="380"/>
      <c r="D20" s="123"/>
      <c r="E20" s="318"/>
      <c r="F20" s="319"/>
      <c r="G20" s="320"/>
      <c r="H20" s="123"/>
      <c r="I20" s="580"/>
      <c r="J20" s="39"/>
      <c r="K20" s="40"/>
      <c r="L20" s="39"/>
      <c r="M20" s="39"/>
      <c r="N20" s="39"/>
      <c r="O20" s="39"/>
    </row>
    <row r="21" spans="2:30" ht="15" thickBot="1" x14ac:dyDescent="0.4">
      <c r="B21" s="576" t="s">
        <v>37</v>
      </c>
      <c r="C21" s="378"/>
      <c r="D21" s="322"/>
      <c r="E21" s="323"/>
      <c r="F21" s="324"/>
      <c r="G21" s="325"/>
      <c r="H21" s="326"/>
      <c r="I21" s="577"/>
      <c r="J21" s="39"/>
      <c r="K21" s="40"/>
      <c r="L21" s="39"/>
      <c r="M21" s="39"/>
      <c r="N21" s="39"/>
      <c r="O21" s="39"/>
    </row>
    <row r="22" spans="2:30" x14ac:dyDescent="0.35">
      <c r="B22" s="581" t="s">
        <v>152</v>
      </c>
      <c r="C22" s="381"/>
      <c r="D22" s="120" t="s">
        <v>7</v>
      </c>
      <c r="E22" s="327" t="s">
        <v>7</v>
      </c>
      <c r="F22" s="328" t="s">
        <v>7</v>
      </c>
      <c r="G22" s="329" t="s">
        <v>7</v>
      </c>
      <c r="H22" s="120" t="s">
        <v>7</v>
      </c>
      <c r="I22" s="582" t="s">
        <v>7</v>
      </c>
      <c r="J22" s="38"/>
      <c r="K22" s="37"/>
      <c r="L22" s="38"/>
      <c r="M22" s="38"/>
      <c r="N22" s="36"/>
      <c r="O22" s="36"/>
    </row>
    <row r="23" spans="2:30" ht="15" thickBot="1" x14ac:dyDescent="0.4">
      <c r="B23" s="583" t="s">
        <v>133</v>
      </c>
      <c r="C23" s="382"/>
      <c r="D23" s="314">
        <f>SUM(D22)</f>
        <v>0</v>
      </c>
      <c r="E23" s="315">
        <f t="shared" ref="E23:G23" si="2">SUM(E22)</f>
        <v>0</v>
      </c>
      <c r="F23" s="386">
        <f t="shared" si="2"/>
        <v>0</v>
      </c>
      <c r="G23" s="387">
        <f t="shared" si="2"/>
        <v>0</v>
      </c>
      <c r="H23" s="314">
        <f>SUM(H22)</f>
        <v>0</v>
      </c>
      <c r="I23" s="584">
        <f>SUM(I22)</f>
        <v>0</v>
      </c>
      <c r="J23" s="43"/>
      <c r="K23" s="40"/>
      <c r="L23" s="43"/>
      <c r="M23" s="43"/>
      <c r="N23" s="39"/>
      <c r="O23" s="39"/>
    </row>
    <row r="24" spans="2:30" x14ac:dyDescent="0.35">
      <c r="B24" s="578"/>
      <c r="C24" s="380"/>
      <c r="D24" s="123"/>
      <c r="E24" s="318"/>
      <c r="F24" s="319"/>
      <c r="G24" s="320"/>
      <c r="H24" s="123"/>
      <c r="I24" s="580"/>
      <c r="J24" s="42"/>
      <c r="K24" s="42"/>
      <c r="L24" s="42"/>
      <c r="M24" s="42"/>
      <c r="N24" s="42"/>
      <c r="O24" s="42"/>
    </row>
    <row r="25" spans="2:30" ht="15" thickBot="1" x14ac:dyDescent="0.4">
      <c r="B25" s="583" t="s">
        <v>36</v>
      </c>
      <c r="C25" s="382"/>
      <c r="D25" s="314">
        <f t="shared" ref="D25:I25" si="3">SUM(D23,D19,D15)</f>
        <v>32807</v>
      </c>
      <c r="E25" s="315">
        <f t="shared" si="3"/>
        <v>140453</v>
      </c>
      <c r="F25" s="316">
        <f t="shared" si="3"/>
        <v>716.95709999999997</v>
      </c>
      <c r="G25" s="317">
        <f t="shared" si="3"/>
        <v>1501.1870000000001</v>
      </c>
      <c r="H25" s="314">
        <f t="shared" si="3"/>
        <v>9917.9548736299985</v>
      </c>
      <c r="I25" s="584">
        <f t="shared" si="3"/>
        <v>23432.35952584201</v>
      </c>
      <c r="J25" s="42"/>
      <c r="K25" s="42"/>
      <c r="L25" s="42"/>
      <c r="M25" s="42"/>
      <c r="N25" s="42"/>
      <c r="O25" s="42"/>
    </row>
    <row r="26" spans="2:30" ht="15" thickBot="1" x14ac:dyDescent="0.4">
      <c r="B26" s="585" t="s">
        <v>134</v>
      </c>
      <c r="C26" s="586"/>
      <c r="D26" s="587"/>
      <c r="E26" s="588"/>
      <c r="F26" s="589">
        <v>0</v>
      </c>
      <c r="G26" s="590">
        <v>0</v>
      </c>
      <c r="H26" s="587"/>
      <c r="I26" s="591"/>
      <c r="J26" s="42"/>
      <c r="K26" s="42"/>
      <c r="L26" s="42"/>
      <c r="M26" s="42"/>
      <c r="N26" s="42"/>
      <c r="O26" s="42"/>
    </row>
    <row r="27" spans="2:30" x14ac:dyDescent="0.35">
      <c r="B27" s="822" t="s">
        <v>153</v>
      </c>
      <c r="J27" s="39"/>
      <c r="K27" s="40"/>
      <c r="L27" s="39"/>
      <c r="M27" s="39"/>
      <c r="N27" s="39"/>
      <c r="O27" s="39"/>
    </row>
    <row r="28" spans="2:30" x14ac:dyDescent="0.35">
      <c r="B28" s="822" t="s">
        <v>154</v>
      </c>
      <c r="J28" s="39"/>
      <c r="K28" s="40"/>
      <c r="L28" s="39"/>
      <c r="M28" s="39"/>
      <c r="N28" s="39"/>
      <c r="O28" s="39"/>
    </row>
    <row r="29" spans="2:30" x14ac:dyDescent="0.35">
      <c r="B29" s="21"/>
      <c r="C29" s="9"/>
      <c r="D29" s="9"/>
      <c r="E29" s="9"/>
      <c r="F29" s="9"/>
      <c r="G29" s="9"/>
      <c r="H29" s="9"/>
      <c r="I29" s="9"/>
      <c r="J29" s="9"/>
      <c r="K29" s="10"/>
      <c r="L29" s="9"/>
      <c r="M29" s="9"/>
      <c r="N29" s="11"/>
      <c r="O29" s="11"/>
      <c r="P29" s="9"/>
      <c r="Q29" s="9"/>
      <c r="R29" s="9"/>
      <c r="S29" s="9"/>
      <c r="T29" s="9"/>
      <c r="U29" s="9"/>
      <c r="V29" s="9"/>
      <c r="W29" s="9"/>
      <c r="X29" s="9"/>
      <c r="Y29" s="9"/>
      <c r="Z29" s="9"/>
      <c r="AA29" s="9"/>
      <c r="AB29" s="9"/>
      <c r="AC29" s="9"/>
      <c r="AD29" s="9"/>
    </row>
  </sheetData>
  <mergeCells count="9">
    <mergeCell ref="B17:B18"/>
    <mergeCell ref="D6:E6"/>
    <mergeCell ref="F6:G6"/>
    <mergeCell ref="H6:I6"/>
    <mergeCell ref="D4:E4"/>
    <mergeCell ref="F4:G4"/>
    <mergeCell ref="H4:I4"/>
    <mergeCell ref="B8:B10"/>
    <mergeCell ref="B11:B13"/>
  </mergeCells>
  <phoneticPr fontId="43" type="noConversion"/>
  <pageMargins left="0.25" right="0.25" top="0.75" bottom="0.75" header="0.3" footer="0.3"/>
  <pageSetup scale="93" fitToHeight="0" orientation="landscape" r:id="rId1"/>
  <headerFooter>
    <oddHeader>&amp;CACE Q2 of Program Year 2022 LMI Reporting Table</oddHeader>
    <oddFooter>&amp;C&amp;N&amp;R&amp;D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B21"/>
  <sheetViews>
    <sheetView showGridLines="0" zoomScale="130" zoomScaleNormal="130" zoomScaleSheetLayoutView="100" workbookViewId="0">
      <selection activeCell="D2" sqref="D2"/>
    </sheetView>
  </sheetViews>
  <sheetFormatPr defaultColWidth="9.26953125" defaultRowHeight="14.5" x14ac:dyDescent="0.35"/>
  <cols>
    <col min="1" max="1" width="4.26953125" customWidth="1"/>
    <col min="2" max="2" width="22.1796875" customWidth="1"/>
    <col min="3" max="3" width="35" customWidth="1"/>
    <col min="4" max="4" width="16.26953125" customWidth="1"/>
    <col min="5" max="5" width="15.54296875" customWidth="1"/>
    <col min="6" max="6" width="17.453125" customWidth="1"/>
    <col min="7" max="7" width="17.26953125" customWidth="1"/>
    <col min="8" max="8" width="16.81640625" customWidth="1"/>
    <col min="9" max="9" width="17" customWidth="1"/>
    <col min="10" max="15" width="16.26953125" customWidth="1"/>
    <col min="22" max="22" width="50.7265625" bestFit="1" customWidth="1"/>
  </cols>
  <sheetData>
    <row r="1" spans="1:28" ht="23.5" x14ac:dyDescent="0.55000000000000004">
      <c r="A1" s="1" t="s">
        <v>47</v>
      </c>
    </row>
    <row r="3" spans="1:28" ht="19" thickBot="1" x14ac:dyDescent="0.5">
      <c r="A3" s="5"/>
      <c r="B3" s="5" t="s">
        <v>55</v>
      </c>
      <c r="C3" s="5"/>
      <c r="D3" s="5"/>
      <c r="E3" s="5"/>
      <c r="F3" s="5"/>
      <c r="G3" s="5"/>
      <c r="H3" s="5"/>
    </row>
    <row r="4" spans="1:28" ht="43.15" customHeight="1" thickBot="1" x14ac:dyDescent="0.4">
      <c r="A4" t="s">
        <v>56</v>
      </c>
      <c r="B4" s="879"/>
      <c r="C4" s="29"/>
      <c r="D4" s="922" t="s">
        <v>57</v>
      </c>
      <c r="E4" s="893"/>
      <c r="F4" s="923" t="s">
        <v>140</v>
      </c>
      <c r="G4" s="924"/>
      <c r="H4" s="925" t="s">
        <v>59</v>
      </c>
      <c r="I4" s="926"/>
    </row>
    <row r="5" spans="1:28" ht="21" customHeight="1" thickBot="1" x14ac:dyDescent="0.4">
      <c r="B5" s="72"/>
      <c r="C5" s="32"/>
      <c r="D5" s="58" t="s">
        <v>61</v>
      </c>
      <c r="E5" s="60" t="s">
        <v>62</v>
      </c>
      <c r="F5" s="66" t="s">
        <v>63</v>
      </c>
      <c r="G5" s="67" t="s">
        <v>141</v>
      </c>
      <c r="H5" s="59" t="s">
        <v>65</v>
      </c>
      <c r="I5" s="62" t="s">
        <v>66</v>
      </c>
      <c r="J5" s="355" t="s">
        <v>67</v>
      </c>
      <c r="K5" s="405" t="s">
        <v>155</v>
      </c>
      <c r="L5" s="355" t="s">
        <v>69</v>
      </c>
      <c r="M5" s="356" t="s">
        <v>70</v>
      </c>
      <c r="N5" s="355" t="s">
        <v>71</v>
      </c>
      <c r="O5" s="356" t="s">
        <v>156</v>
      </c>
    </row>
    <row r="6" spans="1:28" ht="52.5" customHeight="1" thickBot="1" x14ac:dyDescent="0.4">
      <c r="B6" s="73"/>
      <c r="C6" s="31"/>
      <c r="D6" s="927" t="s">
        <v>43</v>
      </c>
      <c r="E6" s="928"/>
      <c r="F6" s="905" t="s">
        <v>142</v>
      </c>
      <c r="G6" s="906"/>
      <c r="H6" s="907" t="s">
        <v>88</v>
      </c>
      <c r="I6" s="916"/>
      <c r="J6" s="907" t="s">
        <v>157</v>
      </c>
      <c r="K6" s="916"/>
      <c r="L6" s="907" t="s">
        <v>158</v>
      </c>
      <c r="M6" s="916"/>
      <c r="N6" s="907" t="s">
        <v>159</v>
      </c>
      <c r="O6" s="916"/>
      <c r="T6" s="389" t="s">
        <v>97</v>
      </c>
      <c r="U6" s="389" t="s">
        <v>40</v>
      </c>
      <c r="V6" s="389" t="s">
        <v>98</v>
      </c>
      <c r="W6" s="390" t="s">
        <v>99</v>
      </c>
      <c r="X6" s="390" t="s">
        <v>100</v>
      </c>
      <c r="Y6" s="390" t="s">
        <v>101</v>
      </c>
      <c r="Z6" s="390" t="s">
        <v>99</v>
      </c>
      <c r="AA6" s="390" t="s">
        <v>100</v>
      </c>
      <c r="AB6" s="390" t="s">
        <v>101</v>
      </c>
    </row>
    <row r="7" spans="1:28" ht="29.5" thickBot="1" x14ac:dyDescent="0.4">
      <c r="B7" s="54" t="s">
        <v>125</v>
      </c>
      <c r="C7" s="49" t="s">
        <v>42</v>
      </c>
      <c r="D7" s="70" t="s">
        <v>160</v>
      </c>
      <c r="E7" s="71" t="s">
        <v>161</v>
      </c>
      <c r="F7" s="70" t="s">
        <v>160</v>
      </c>
      <c r="G7" s="71" t="s">
        <v>161</v>
      </c>
      <c r="H7" s="70" t="s">
        <v>160</v>
      </c>
      <c r="I7" s="71" t="s">
        <v>161</v>
      </c>
      <c r="J7" s="357" t="s">
        <v>160</v>
      </c>
      <c r="K7" s="406" t="s">
        <v>161</v>
      </c>
      <c r="L7" s="357" t="s">
        <v>160</v>
      </c>
      <c r="M7" s="358" t="s">
        <v>161</v>
      </c>
      <c r="N7" s="404" t="s">
        <v>160</v>
      </c>
      <c r="O7" s="403" t="s">
        <v>161</v>
      </c>
      <c r="T7" s="391">
        <v>6</v>
      </c>
      <c r="U7" s="391" t="s">
        <v>111</v>
      </c>
      <c r="V7" s="391" t="s">
        <v>23</v>
      </c>
      <c r="W7" s="392">
        <v>0.115</v>
      </c>
      <c r="X7" s="392">
        <v>0.13400000000000001</v>
      </c>
      <c r="Y7" s="392">
        <v>1.4999999999999999E-2</v>
      </c>
      <c r="Z7" s="393">
        <f t="shared" ref="Z7:AB12" si="0">(W7+1)</f>
        <v>1.115</v>
      </c>
      <c r="AA7" s="393">
        <f t="shared" si="0"/>
        <v>1.1339999999999999</v>
      </c>
      <c r="AB7" s="393">
        <f t="shared" si="0"/>
        <v>1.0149999999999999</v>
      </c>
    </row>
    <row r="8" spans="1:28" ht="15" thickBot="1" x14ac:dyDescent="0.4">
      <c r="B8" s="48" t="s">
        <v>17</v>
      </c>
      <c r="C8" s="35" t="s">
        <v>18</v>
      </c>
      <c r="D8" s="776">
        <v>1</v>
      </c>
      <c r="E8" s="850" t="s">
        <v>7</v>
      </c>
      <c r="F8" s="851">
        <v>5.5419700000000001</v>
      </c>
      <c r="G8" s="852" t="s">
        <v>7</v>
      </c>
      <c r="H8" s="776">
        <v>19.803999999999998</v>
      </c>
      <c r="I8" s="850" t="s">
        <v>7</v>
      </c>
      <c r="J8" s="776">
        <v>297.065</v>
      </c>
      <c r="K8" s="850" t="s">
        <v>7</v>
      </c>
      <c r="L8" s="776">
        <v>297.065</v>
      </c>
      <c r="M8" s="850" t="s">
        <v>7</v>
      </c>
      <c r="N8" s="651">
        <f>L8*$Z$10</f>
        <v>326.47443499999997</v>
      </c>
      <c r="O8" s="652" t="s">
        <v>7</v>
      </c>
      <c r="T8" s="391">
        <v>7</v>
      </c>
      <c r="U8" s="391" t="s">
        <v>4</v>
      </c>
      <c r="V8" s="391" t="s">
        <v>112</v>
      </c>
      <c r="W8" s="392">
        <v>9.0999999999999998E-2</v>
      </c>
      <c r="X8" s="392">
        <v>0.113</v>
      </c>
      <c r="Y8" s="392">
        <v>1.4999999999999999E-2</v>
      </c>
      <c r="Z8" s="393">
        <f t="shared" si="0"/>
        <v>1.091</v>
      </c>
      <c r="AA8" s="393">
        <f t="shared" si="0"/>
        <v>1.113</v>
      </c>
      <c r="AB8" s="393">
        <f t="shared" si="0"/>
        <v>1.0149999999999999</v>
      </c>
    </row>
    <row r="9" spans="1:28" x14ac:dyDescent="0.35">
      <c r="B9" s="917" t="s">
        <v>19</v>
      </c>
      <c r="C9" s="873" t="s">
        <v>20</v>
      </c>
      <c r="D9" s="757">
        <v>158</v>
      </c>
      <c r="E9" s="853">
        <v>64</v>
      </c>
      <c r="F9" s="854">
        <v>1160.89276</v>
      </c>
      <c r="G9" s="855">
        <v>1894.7939200000001</v>
      </c>
      <c r="H9" s="757">
        <v>5072.0389999999998</v>
      </c>
      <c r="I9" s="853">
        <v>9245.7099999999991</v>
      </c>
      <c r="J9" s="757">
        <v>36325.06</v>
      </c>
      <c r="K9" s="853">
        <v>65306.868000000002</v>
      </c>
      <c r="L9" s="757">
        <v>75338.076000000001</v>
      </c>
      <c r="M9" s="853">
        <v>131654.94200000001</v>
      </c>
      <c r="N9" s="653">
        <f>J9*$Z$8</f>
        <v>39630.640459999995</v>
      </c>
      <c r="O9" s="654">
        <f>K9*$Z$8</f>
        <v>71249.792988000001</v>
      </c>
      <c r="T9" s="391">
        <v>8</v>
      </c>
      <c r="U9" s="391" t="s">
        <v>4</v>
      </c>
      <c r="V9" s="391" t="s">
        <v>114</v>
      </c>
      <c r="W9" s="392">
        <v>6.9000000000000006E-2</v>
      </c>
      <c r="X9" s="392">
        <v>8.6999999999999994E-2</v>
      </c>
      <c r="Y9" s="392">
        <v>1.4999999999999999E-2</v>
      </c>
      <c r="Z9" s="393">
        <f t="shared" si="0"/>
        <v>1.069</v>
      </c>
      <c r="AA9" s="393">
        <f t="shared" si="0"/>
        <v>1.087</v>
      </c>
      <c r="AB9" s="393">
        <f t="shared" si="0"/>
        <v>1.0149999999999999</v>
      </c>
    </row>
    <row r="10" spans="1:28" x14ac:dyDescent="0.35">
      <c r="B10" s="918"/>
      <c r="C10" s="874" t="s">
        <v>21</v>
      </c>
      <c r="D10" s="655">
        <v>1</v>
      </c>
      <c r="E10" s="656">
        <v>0</v>
      </c>
      <c r="F10" s="856">
        <v>1</v>
      </c>
      <c r="G10" s="857">
        <v>0</v>
      </c>
      <c r="H10" s="655">
        <v>241</v>
      </c>
      <c r="I10" s="656">
        <v>0</v>
      </c>
      <c r="J10" s="655">
        <v>2217.1999999999998</v>
      </c>
      <c r="K10" s="656">
        <v>0</v>
      </c>
      <c r="L10" s="655">
        <v>2217.1999999999998</v>
      </c>
      <c r="M10" s="656">
        <v>0</v>
      </c>
      <c r="N10" s="655">
        <f>J10*$Z$11</f>
        <v>2387.9243999999999</v>
      </c>
      <c r="O10" s="656">
        <f>K10*$Z$11</f>
        <v>0</v>
      </c>
      <c r="T10" s="391">
        <v>9</v>
      </c>
      <c r="U10" s="391" t="s">
        <v>4</v>
      </c>
      <c r="V10" s="391" t="s">
        <v>116</v>
      </c>
      <c r="W10" s="392">
        <v>9.9000000000000005E-2</v>
      </c>
      <c r="X10" s="392">
        <v>0.121</v>
      </c>
      <c r="Y10" s="392">
        <v>1.4999999999999999E-2</v>
      </c>
      <c r="Z10" s="393">
        <f t="shared" si="0"/>
        <v>1.099</v>
      </c>
      <c r="AA10" s="393">
        <f t="shared" si="0"/>
        <v>1.121</v>
      </c>
      <c r="AB10" s="393">
        <f t="shared" si="0"/>
        <v>1.0149999999999999</v>
      </c>
    </row>
    <row r="11" spans="1:28" ht="15" thickBot="1" x14ac:dyDescent="0.4">
      <c r="B11" s="919"/>
      <c r="C11" s="394" t="s">
        <v>22</v>
      </c>
      <c r="D11" s="791">
        <v>0</v>
      </c>
      <c r="E11" s="858">
        <v>0</v>
      </c>
      <c r="F11" s="859">
        <v>0</v>
      </c>
      <c r="G11" s="860">
        <v>0</v>
      </c>
      <c r="H11" s="791">
        <v>0</v>
      </c>
      <c r="I11" s="858">
        <v>0</v>
      </c>
      <c r="J11" s="791">
        <v>0</v>
      </c>
      <c r="K11" s="858">
        <v>0</v>
      </c>
      <c r="L11" s="791">
        <v>0</v>
      </c>
      <c r="M11" s="858">
        <v>0</v>
      </c>
      <c r="N11" s="657">
        <f>J11*$Z$9</f>
        <v>0</v>
      </c>
      <c r="O11" s="658">
        <f>K11*$Z$9</f>
        <v>0</v>
      </c>
      <c r="T11" s="391">
        <v>10</v>
      </c>
      <c r="U11" s="391" t="s">
        <v>4</v>
      </c>
      <c r="V11" s="391" t="s">
        <v>118</v>
      </c>
      <c r="W11" s="392">
        <v>7.6999999999999999E-2</v>
      </c>
      <c r="X11" s="392">
        <v>9.1999999999999998E-2</v>
      </c>
      <c r="Y11" s="392">
        <v>1.4999999999999999E-2</v>
      </c>
      <c r="Z11" s="393">
        <f t="shared" si="0"/>
        <v>1.077</v>
      </c>
      <c r="AA11" s="393">
        <f t="shared" si="0"/>
        <v>1.0920000000000001</v>
      </c>
      <c r="AB11" s="393">
        <f t="shared" si="0"/>
        <v>1.0149999999999999</v>
      </c>
    </row>
    <row r="12" spans="1:28" s="9" customFormat="1" ht="15" thickBot="1" x14ac:dyDescent="0.4">
      <c r="B12" s="399" t="s">
        <v>128</v>
      </c>
      <c r="C12" s="400"/>
      <c r="D12" s="461">
        <f>SUM(D8:D11)</f>
        <v>160</v>
      </c>
      <c r="E12" s="462">
        <f t="shared" ref="E12:I12" si="1">SUM(E8:E11)</f>
        <v>64</v>
      </c>
      <c r="F12" s="401">
        <f t="shared" si="1"/>
        <v>1167.4347299999999</v>
      </c>
      <c r="G12" s="402">
        <f>SUM(G8:G11)</f>
        <v>1894.7939200000001</v>
      </c>
      <c r="H12" s="461">
        <f t="shared" si="1"/>
        <v>5332.8429999999998</v>
      </c>
      <c r="I12" s="462">
        <f t="shared" si="1"/>
        <v>9245.7099999999991</v>
      </c>
      <c r="J12" s="461">
        <f t="shared" ref="J12:M12" si="2">SUM(J8:J11)</f>
        <v>38839.324999999997</v>
      </c>
      <c r="K12" s="462">
        <f t="shared" si="2"/>
        <v>65306.868000000002</v>
      </c>
      <c r="L12" s="461">
        <f t="shared" si="2"/>
        <v>77852.341</v>
      </c>
      <c r="M12" s="463">
        <f t="shared" si="2"/>
        <v>131654.94200000001</v>
      </c>
      <c r="N12" s="461">
        <f>SUM(N8:N11)</f>
        <v>42345.039294999995</v>
      </c>
      <c r="O12" s="463">
        <f>SUM(O8:O11)</f>
        <v>71249.792988000001</v>
      </c>
      <c r="P12"/>
      <c r="Q12"/>
      <c r="R12"/>
      <c r="S12"/>
      <c r="T12" s="391">
        <v>11</v>
      </c>
      <c r="U12" s="391" t="s">
        <v>119</v>
      </c>
      <c r="V12" s="391" t="s">
        <v>120</v>
      </c>
      <c r="W12" s="392">
        <v>0.115</v>
      </c>
      <c r="X12" s="392">
        <v>0.13400000000000001</v>
      </c>
      <c r="Y12" s="392">
        <v>1.4999999999999999E-2</v>
      </c>
      <c r="Z12" s="393">
        <f t="shared" si="0"/>
        <v>1.115</v>
      </c>
      <c r="AA12" s="393">
        <f t="shared" si="0"/>
        <v>1.1339999999999999</v>
      </c>
      <c r="AB12" s="393">
        <f t="shared" si="0"/>
        <v>1.0149999999999999</v>
      </c>
    </row>
    <row r="13" spans="1:28" ht="15" thickBot="1" x14ac:dyDescent="0.4">
      <c r="B13" s="56"/>
      <c r="C13" s="65"/>
      <c r="D13" s="56"/>
      <c r="E13" s="57"/>
      <c r="F13" s="198"/>
      <c r="G13" s="199"/>
      <c r="H13" s="56"/>
      <c r="I13" s="57"/>
      <c r="J13" s="361"/>
      <c r="K13" s="407"/>
      <c r="L13" s="361"/>
      <c r="M13" s="362"/>
      <c r="N13" s="361"/>
      <c r="O13" s="362"/>
    </row>
    <row r="14" spans="1:28" x14ac:dyDescent="0.35">
      <c r="B14" s="920" t="s">
        <v>23</v>
      </c>
      <c r="C14" s="69" t="s">
        <v>20</v>
      </c>
      <c r="D14" s="363">
        <v>0</v>
      </c>
      <c r="E14" s="365">
        <v>0</v>
      </c>
      <c r="F14" s="200">
        <v>0</v>
      </c>
      <c r="G14" s="201">
        <v>0</v>
      </c>
      <c r="H14" s="363">
        <v>0</v>
      </c>
      <c r="I14" s="365">
        <v>0</v>
      </c>
      <c r="J14" s="363">
        <v>0</v>
      </c>
      <c r="K14" s="365">
        <v>0</v>
      </c>
      <c r="L14" s="363">
        <v>0</v>
      </c>
      <c r="M14" s="364">
        <v>0</v>
      </c>
      <c r="N14" s="359">
        <f>J14*$Z$7</f>
        <v>0</v>
      </c>
      <c r="O14" s="360">
        <f>K14*$Z$7</f>
        <v>0</v>
      </c>
    </row>
    <row r="15" spans="1:28" ht="15.75" customHeight="1" thickBot="1" x14ac:dyDescent="0.4">
      <c r="B15" s="921"/>
      <c r="C15" s="68" t="s">
        <v>22</v>
      </c>
      <c r="D15" s="408">
        <v>0</v>
      </c>
      <c r="E15" s="409">
        <v>0</v>
      </c>
      <c r="F15" s="395">
        <v>0</v>
      </c>
      <c r="G15" s="396">
        <v>0</v>
      </c>
      <c r="H15" s="408">
        <v>0</v>
      </c>
      <c r="I15" s="409">
        <v>0</v>
      </c>
      <c r="J15" s="408">
        <v>0</v>
      </c>
      <c r="K15" s="409">
        <v>0</v>
      </c>
      <c r="L15" s="408">
        <v>0</v>
      </c>
      <c r="M15" s="410">
        <v>0</v>
      </c>
      <c r="N15" s="397">
        <f>J15*$Z$7</f>
        <v>0</v>
      </c>
      <c r="O15" s="398">
        <f>K15*$Z$7</f>
        <v>0</v>
      </c>
    </row>
    <row r="16" spans="1:28" ht="15" thickBot="1" x14ac:dyDescent="0.4">
      <c r="B16" s="399" t="s">
        <v>37</v>
      </c>
      <c r="C16" s="400"/>
      <c r="D16" s="399"/>
      <c r="E16" s="411"/>
      <c r="F16" s="412"/>
      <c r="G16" s="413"/>
      <c r="H16" s="399"/>
      <c r="I16" s="414"/>
      <c r="J16" s="415"/>
      <c r="K16" s="416"/>
      <c r="L16" s="415"/>
      <c r="M16" s="417"/>
      <c r="N16" s="415"/>
      <c r="O16" s="417"/>
    </row>
    <row r="17" spans="2:15" ht="15" thickBot="1" x14ac:dyDescent="0.4">
      <c r="B17" s="75" t="s">
        <v>132</v>
      </c>
      <c r="C17" s="76"/>
      <c r="D17" s="169" t="s">
        <v>7</v>
      </c>
      <c r="E17" s="170" t="s">
        <v>7</v>
      </c>
      <c r="F17" s="202" t="s">
        <v>7</v>
      </c>
      <c r="G17" s="203" t="s">
        <v>7</v>
      </c>
      <c r="H17" s="169" t="s">
        <v>7</v>
      </c>
      <c r="I17" s="153" t="s">
        <v>7</v>
      </c>
      <c r="J17" s="464" t="s">
        <v>7</v>
      </c>
      <c r="K17" s="465" t="s">
        <v>7</v>
      </c>
      <c r="L17" s="464" t="s">
        <v>7</v>
      </c>
      <c r="M17" s="466" t="s">
        <v>7</v>
      </c>
      <c r="N17" s="464" t="s">
        <v>7</v>
      </c>
      <c r="O17" s="466" t="s">
        <v>7</v>
      </c>
    </row>
    <row r="18" spans="2:15" ht="15" thickBot="1" x14ac:dyDescent="0.4">
      <c r="B18" s="19" t="s">
        <v>133</v>
      </c>
      <c r="C18" s="63"/>
      <c r="D18" s="171" t="s">
        <v>7</v>
      </c>
      <c r="E18" s="172" t="s">
        <v>7</v>
      </c>
      <c r="F18" s="151" t="s">
        <v>7</v>
      </c>
      <c r="G18" s="197" t="s">
        <v>7</v>
      </c>
      <c r="H18" s="171" t="s">
        <v>7</v>
      </c>
      <c r="I18" s="168" t="s">
        <v>7</v>
      </c>
      <c r="J18" s="467">
        <f>SUM(J17)</f>
        <v>0</v>
      </c>
      <c r="K18" s="468">
        <f t="shared" ref="K18:O18" si="3">SUM(K17)</f>
        <v>0</v>
      </c>
      <c r="L18" s="467">
        <f t="shared" si="3"/>
        <v>0</v>
      </c>
      <c r="M18" s="469">
        <f t="shared" si="3"/>
        <v>0</v>
      </c>
      <c r="N18" s="467">
        <f t="shared" si="3"/>
        <v>0</v>
      </c>
      <c r="O18" s="469">
        <f t="shared" si="3"/>
        <v>0</v>
      </c>
    </row>
    <row r="19" spans="2:15" ht="15" thickBot="1" x14ac:dyDescent="0.4">
      <c r="B19" s="56"/>
      <c r="C19" s="65"/>
      <c r="D19" s="56"/>
      <c r="E19" s="57"/>
      <c r="F19" s="198"/>
      <c r="G19" s="199"/>
      <c r="H19" s="56"/>
      <c r="I19" s="57"/>
      <c r="J19" s="470"/>
      <c r="K19" s="471"/>
      <c r="L19" s="470"/>
      <c r="M19" s="472"/>
      <c r="N19" s="470"/>
      <c r="O19" s="472"/>
    </row>
    <row r="20" spans="2:15" ht="15" thickBot="1" x14ac:dyDescent="0.4">
      <c r="B20" s="399" t="s">
        <v>134</v>
      </c>
      <c r="C20" s="418"/>
      <c r="D20" s="419"/>
      <c r="E20" s="420"/>
      <c r="F20" s="421">
        <v>0</v>
      </c>
      <c r="G20" s="422">
        <v>0</v>
      </c>
      <c r="H20" s="419"/>
      <c r="I20" s="420"/>
      <c r="J20" s="461">
        <f t="shared" ref="J20:O20" si="4">SUM(J18,J14:J15,J12)</f>
        <v>38839.324999999997</v>
      </c>
      <c r="K20" s="462">
        <f t="shared" si="4"/>
        <v>65306.868000000002</v>
      </c>
      <c r="L20" s="461">
        <f t="shared" si="4"/>
        <v>77852.341</v>
      </c>
      <c r="M20" s="463">
        <f t="shared" si="4"/>
        <v>131654.94200000001</v>
      </c>
      <c r="N20" s="461">
        <f t="shared" si="4"/>
        <v>42345.039294999995</v>
      </c>
      <c r="O20" s="463">
        <f t="shared" si="4"/>
        <v>71249.792988000001</v>
      </c>
    </row>
    <row r="21" spans="2:15" ht="15" thickBot="1" x14ac:dyDescent="0.4">
      <c r="B21" s="321" t="s">
        <v>36</v>
      </c>
      <c r="C21" s="423"/>
      <c r="D21" s="461">
        <f t="shared" ref="D21:I21" si="5">SUM(D18,D14:D15,D12)</f>
        <v>160</v>
      </c>
      <c r="E21" s="462">
        <f t="shared" si="5"/>
        <v>64</v>
      </c>
      <c r="F21" s="204">
        <f t="shared" si="5"/>
        <v>1167.4347299999999</v>
      </c>
      <c r="G21" s="205">
        <f t="shared" si="5"/>
        <v>1894.7939200000001</v>
      </c>
      <c r="H21" s="461">
        <f t="shared" si="5"/>
        <v>5332.8429999999998</v>
      </c>
      <c r="I21" s="462">
        <f t="shared" si="5"/>
        <v>9245.7099999999991</v>
      </c>
      <c r="J21" s="473"/>
      <c r="K21" s="474"/>
      <c r="L21" s="473"/>
      <c r="M21" s="475"/>
      <c r="N21" s="473"/>
      <c r="O21" s="475"/>
    </row>
  </sheetData>
  <mergeCells count="11">
    <mergeCell ref="D4:E4"/>
    <mergeCell ref="F4:G4"/>
    <mergeCell ref="H4:I4"/>
    <mergeCell ref="D6:E6"/>
    <mergeCell ref="F6:G6"/>
    <mergeCell ref="H6:I6"/>
    <mergeCell ref="J6:K6"/>
    <mergeCell ref="L6:M6"/>
    <mergeCell ref="N6:O6"/>
    <mergeCell ref="B9:B11"/>
    <mergeCell ref="B14:B15"/>
  </mergeCells>
  <pageMargins left="0.25" right="0.25" top="0.75" bottom="0.75" header="0.3" footer="0.3"/>
  <pageSetup scale="93" fitToHeight="0" orientation="landscape" r:id="rId1"/>
  <headerFooter>
    <oddHeader>&amp;CACE Q2 of Program Year 2022 Small Business Reporting Table</oddHeader>
    <oddFooter>&amp;C&amp;N&amp;R&amp;D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31"/>
  <sheetViews>
    <sheetView zoomScaleNormal="100" workbookViewId="0">
      <selection activeCell="F23" sqref="F23"/>
    </sheetView>
  </sheetViews>
  <sheetFormatPr defaultColWidth="9.1796875" defaultRowHeight="14" x14ac:dyDescent="0.3"/>
  <cols>
    <col min="1" max="1" width="4.81640625" style="339" customWidth="1"/>
    <col min="2" max="2" width="35" style="339" customWidth="1"/>
    <col min="3" max="3" width="28.1796875" style="339" customWidth="1"/>
    <col min="4" max="4" width="21.26953125" style="339" customWidth="1"/>
    <col min="5" max="5" width="28.81640625" style="339" customWidth="1"/>
    <col min="6" max="6" width="9.1796875" style="339"/>
    <col min="7" max="7" width="16.81640625" style="339" customWidth="1"/>
    <col min="8" max="16384" width="9.1796875" style="339"/>
  </cols>
  <sheetData>
    <row r="1" spans="2:19" ht="18" x14ac:dyDescent="0.4">
      <c r="B1" s="338" t="s">
        <v>162</v>
      </c>
    </row>
    <row r="2" spans="2:19" ht="18" x14ac:dyDescent="0.4">
      <c r="B2" s="338"/>
    </row>
    <row r="3" spans="2:19" ht="119.5" customHeight="1" x14ac:dyDescent="0.3">
      <c r="B3" s="929" t="s">
        <v>163</v>
      </c>
      <c r="C3" s="929"/>
      <c r="D3" s="929"/>
      <c r="E3" s="929"/>
      <c r="G3" s="340"/>
      <c r="H3" s="340"/>
      <c r="I3" s="340"/>
      <c r="J3" s="340"/>
      <c r="K3" s="340"/>
      <c r="L3" s="340"/>
      <c r="M3" s="340"/>
      <c r="N3" s="340"/>
      <c r="O3" s="340"/>
      <c r="P3" s="340"/>
      <c r="Q3" s="340"/>
      <c r="R3" s="340"/>
      <c r="S3" s="340"/>
    </row>
    <row r="4" spans="2:19" ht="15.5" x14ac:dyDescent="0.35">
      <c r="B4" s="341"/>
    </row>
    <row r="5" spans="2:19" customFormat="1" ht="14.5" x14ac:dyDescent="0.35">
      <c r="B5" t="s">
        <v>164</v>
      </c>
    </row>
    <row r="6" spans="2:19" customFormat="1" ht="48" x14ac:dyDescent="0.35">
      <c r="B6" s="427" t="s">
        <v>165</v>
      </c>
      <c r="C6" s="34" t="s">
        <v>166</v>
      </c>
      <c r="D6" s="34" t="s">
        <v>5</v>
      </c>
      <c r="E6" s="278" t="s">
        <v>6</v>
      </c>
      <c r="H6" s="273" t="s">
        <v>167</v>
      </c>
      <c r="I6" s="273" t="s">
        <v>168</v>
      </c>
    </row>
    <row r="7" spans="2:19" customFormat="1" ht="14.5" x14ac:dyDescent="0.35">
      <c r="B7" s="283" t="s">
        <v>1</v>
      </c>
      <c r="C7" s="282">
        <v>20361</v>
      </c>
      <c r="D7" s="282">
        <f>'Qtr Electric Master'!M19</f>
        <v>19881.583999999999</v>
      </c>
      <c r="E7" s="281">
        <f>C7/D7</f>
        <v>1.0241135716349361</v>
      </c>
      <c r="G7" s="13" t="s">
        <v>169</v>
      </c>
      <c r="H7" s="342">
        <f>$C$10</f>
        <v>25288</v>
      </c>
      <c r="I7" s="342">
        <f>$C$17</f>
        <v>25308</v>
      </c>
    </row>
    <row r="8" spans="2:19" customFormat="1" ht="14.5" x14ac:dyDescent="0.35">
      <c r="B8" s="283" t="s">
        <v>2</v>
      </c>
      <c r="C8" s="282">
        <v>0</v>
      </c>
      <c r="D8" s="282">
        <f>'Qtr Electric Master'!M32</f>
        <v>2298.1190000000001</v>
      </c>
      <c r="E8" s="281">
        <f>C8/D8</f>
        <v>0</v>
      </c>
      <c r="G8" s="13" t="s">
        <v>170</v>
      </c>
      <c r="H8" s="282"/>
      <c r="I8" s="343"/>
    </row>
    <row r="9" spans="2:19" customFormat="1" ht="14.5" x14ac:dyDescent="0.35">
      <c r="B9" s="283" t="s">
        <v>4</v>
      </c>
      <c r="C9" s="282">
        <v>4927</v>
      </c>
      <c r="D9" s="282">
        <f>'Qtr Electric Master'!M26</f>
        <v>37376.024832112467</v>
      </c>
      <c r="E9" s="281">
        <f>C9/D9</f>
        <v>0.13182247235042649</v>
      </c>
      <c r="G9" t="s">
        <v>171</v>
      </c>
    </row>
    <row r="10" spans="2:19" customFormat="1" ht="29" x14ac:dyDescent="0.35">
      <c r="B10" s="277" t="s">
        <v>3</v>
      </c>
      <c r="C10" s="280">
        <f>SUM(C7:C9)</f>
        <v>25288</v>
      </c>
      <c r="D10" s="280">
        <f>SUM(D7:D9)</f>
        <v>59555.727832112461</v>
      </c>
      <c r="E10" s="279">
        <f>C10/D10</f>
        <v>0.42461071202566525</v>
      </c>
    </row>
    <row r="11" spans="2:19" customFormat="1" ht="14.5" x14ac:dyDescent="0.35"/>
    <row r="12" spans="2:19" customFormat="1" ht="14.5" x14ac:dyDescent="0.35">
      <c r="B12" t="s">
        <v>172</v>
      </c>
    </row>
    <row r="13" spans="2:19" customFormat="1" ht="24" x14ac:dyDescent="0.35">
      <c r="B13" s="427" t="s">
        <v>165</v>
      </c>
      <c r="C13" s="34" t="s">
        <v>166</v>
      </c>
      <c r="D13" s="34" t="s">
        <v>5</v>
      </c>
      <c r="E13" s="278" t="s">
        <v>6</v>
      </c>
    </row>
    <row r="14" spans="2:19" customFormat="1" ht="14.5" x14ac:dyDescent="0.35">
      <c r="B14" s="283" t="s">
        <v>1</v>
      </c>
      <c r="C14" s="282">
        <v>20352</v>
      </c>
      <c r="D14" s="282">
        <f>'Qtr Electric Master'!M19</f>
        <v>19881.583999999999</v>
      </c>
      <c r="E14" s="281">
        <f>C14/D14</f>
        <v>1.0236608914058358</v>
      </c>
    </row>
    <row r="15" spans="2:19" customFormat="1" ht="14.5" x14ac:dyDescent="0.35">
      <c r="B15" s="283" t="s">
        <v>2</v>
      </c>
      <c r="C15" s="282">
        <v>0</v>
      </c>
      <c r="D15" s="282">
        <f>'Qtr Electric Master'!M32</f>
        <v>2298.1190000000001</v>
      </c>
      <c r="E15" s="281">
        <f>C15/D15</f>
        <v>0</v>
      </c>
    </row>
    <row r="16" spans="2:19" customFormat="1" ht="14.5" x14ac:dyDescent="0.35">
      <c r="B16" s="283" t="s">
        <v>4</v>
      </c>
      <c r="C16" s="282">
        <v>4956</v>
      </c>
      <c r="D16" s="282">
        <f>'Qtr Electric Master'!M26</f>
        <v>37376.024832112467</v>
      </c>
      <c r="E16" s="281">
        <f>C16/D16</f>
        <v>0.13259837080753273</v>
      </c>
    </row>
    <row r="17" spans="2:7" customFormat="1" ht="29" x14ac:dyDescent="0.35">
      <c r="B17" s="277" t="s">
        <v>3</v>
      </c>
      <c r="C17" s="280">
        <f>SUM(C14:C16)</f>
        <v>25308</v>
      </c>
      <c r="D17" s="280">
        <f>SUM(D14:D16)</f>
        <v>59555.727832112461</v>
      </c>
      <c r="E17" s="279">
        <f>C17/D17</f>
        <v>0.42494653194976018</v>
      </c>
    </row>
    <row r="18" spans="2:7" customFormat="1" ht="15" customHeight="1" x14ac:dyDescent="0.35">
      <c r="B18" s="930" t="s">
        <v>173</v>
      </c>
      <c r="C18" s="930"/>
      <c r="D18" s="930"/>
      <c r="G18" t="s">
        <v>174</v>
      </c>
    </row>
    <row r="19" spans="2:7" customFormat="1" ht="51.75" customHeight="1" x14ac:dyDescent="0.35">
      <c r="B19" s="930"/>
      <c r="C19" s="930"/>
      <c r="D19" s="930"/>
    </row>
    <row r="20" spans="2:7" customFormat="1" ht="14.5" x14ac:dyDescent="0.35">
      <c r="B20" s="344"/>
      <c r="C20" s="334"/>
      <c r="D20" s="334"/>
      <c r="E20" s="334"/>
    </row>
    <row r="21" spans="2:7" customFormat="1" ht="14.5" x14ac:dyDescent="0.35">
      <c r="B21" s="335"/>
      <c r="C21" s="37"/>
      <c r="D21" s="37"/>
      <c r="E21" s="345"/>
    </row>
    <row r="22" spans="2:7" customFormat="1" ht="14.5" x14ac:dyDescent="0.35">
      <c r="B22" s="335"/>
      <c r="C22" s="37"/>
      <c r="D22" s="37"/>
      <c r="E22" s="345"/>
    </row>
    <row r="23" spans="2:7" customFormat="1" ht="14.5" x14ac:dyDescent="0.35">
      <c r="B23" s="335"/>
      <c r="C23" s="37"/>
      <c r="D23" s="37"/>
      <c r="E23" s="345"/>
    </row>
    <row r="24" spans="2:7" customFormat="1" ht="14.5" x14ac:dyDescent="0.35">
      <c r="B24" s="335"/>
      <c r="C24" s="37"/>
      <c r="D24" s="37"/>
      <c r="E24" s="345"/>
    </row>
    <row r="25" spans="2:7" customFormat="1" ht="14.5" x14ac:dyDescent="0.35">
      <c r="B25" s="335"/>
      <c r="C25" s="37"/>
      <c r="D25" s="37"/>
      <c r="E25" s="345"/>
    </row>
    <row r="26" spans="2:7" customFormat="1" ht="14.5" x14ac:dyDescent="0.35">
      <c r="B26" s="335"/>
      <c r="C26" s="37"/>
      <c r="D26" s="37"/>
      <c r="E26" s="345"/>
    </row>
    <row r="27" spans="2:7" customFormat="1" ht="14.5" x14ac:dyDescent="0.35">
      <c r="B27" s="335"/>
      <c r="C27" s="37"/>
      <c r="D27" s="37"/>
      <c r="E27" s="345"/>
    </row>
    <row r="28" spans="2:7" customFormat="1" ht="14.5" x14ac:dyDescent="0.35">
      <c r="B28" s="335"/>
      <c r="C28" s="37"/>
      <c r="D28" s="37"/>
      <c r="E28" s="345"/>
    </row>
    <row r="29" spans="2:7" customFormat="1" ht="14.5" x14ac:dyDescent="0.35">
      <c r="B29" s="335"/>
      <c r="C29" s="37"/>
      <c r="D29" s="37"/>
      <c r="E29" s="345"/>
    </row>
    <row r="30" spans="2:7" customFormat="1" ht="14.5" x14ac:dyDescent="0.35"/>
    <row r="31" spans="2:7" customFormat="1" ht="14.5" x14ac:dyDescent="0.35"/>
  </sheetData>
  <mergeCells count="2">
    <mergeCell ref="B3:E3"/>
    <mergeCell ref="B18:D19"/>
  </mergeCells>
  <pageMargins left="0.45" right="0.45"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6"/>
  <sheetViews>
    <sheetView zoomScaleNormal="100" workbookViewId="0">
      <selection activeCell="H7" sqref="H7"/>
    </sheetView>
  </sheetViews>
  <sheetFormatPr defaultColWidth="9.1796875" defaultRowHeight="14" x14ac:dyDescent="0.3"/>
  <cols>
    <col min="1" max="1" width="4.1796875" style="339" customWidth="1"/>
    <col min="2" max="2" width="33.453125" style="339" customWidth="1"/>
    <col min="3" max="3" width="36.453125" style="339" customWidth="1"/>
    <col min="4" max="4" width="28" style="339" customWidth="1"/>
    <col min="5" max="16384" width="9.1796875" style="339"/>
  </cols>
  <sheetData>
    <row r="1" spans="2:4" ht="18" x14ac:dyDescent="0.4">
      <c r="B1" s="338" t="s">
        <v>175</v>
      </c>
    </row>
    <row r="2" spans="2:4" ht="18" x14ac:dyDescent="0.4">
      <c r="B2" s="338"/>
    </row>
    <row r="3" spans="2:4" ht="97.15" customHeight="1" x14ac:dyDescent="0.3">
      <c r="B3" s="931" t="s">
        <v>176</v>
      </c>
      <c r="C3" s="931"/>
      <c r="D3" s="931"/>
    </row>
    <row r="5" spans="2:4" ht="21" customHeight="1" x14ac:dyDescent="0.3">
      <c r="B5" s="932" t="s">
        <v>177</v>
      </c>
      <c r="C5" s="932"/>
      <c r="D5" s="346"/>
    </row>
    <row r="6" spans="2:4" ht="18" customHeight="1" x14ac:dyDescent="0.3">
      <c r="B6" s="347" t="s">
        <v>41</v>
      </c>
      <c r="C6" s="348" t="s">
        <v>178</v>
      </c>
      <c r="D6" s="349"/>
    </row>
    <row r="7" spans="2:4" ht="30" customHeight="1" x14ac:dyDescent="0.3">
      <c r="B7" s="425" t="s">
        <v>179</v>
      </c>
      <c r="C7" s="424">
        <v>7065</v>
      </c>
    </row>
    <row r="8" spans="2:4" ht="30" customHeight="1" x14ac:dyDescent="0.3">
      <c r="B8" s="425" t="s">
        <v>180</v>
      </c>
      <c r="C8" s="424">
        <v>1192</v>
      </c>
    </row>
    <row r="9" spans="2:4" ht="30" customHeight="1" x14ac:dyDescent="0.3">
      <c r="B9" s="425" t="s">
        <v>14</v>
      </c>
      <c r="C9" s="424">
        <v>28634</v>
      </c>
    </row>
    <row r="10" spans="2:4" ht="30" customHeight="1" x14ac:dyDescent="0.3">
      <c r="B10" s="425" t="s">
        <v>15</v>
      </c>
      <c r="C10" s="424">
        <v>1031</v>
      </c>
    </row>
    <row r="11" spans="2:4" ht="30" customHeight="1" x14ac:dyDescent="0.3">
      <c r="B11" s="425" t="s">
        <v>23</v>
      </c>
      <c r="C11" s="424">
        <v>0</v>
      </c>
    </row>
    <row r="12" spans="2:4" ht="30" customHeight="1" x14ac:dyDescent="0.3">
      <c r="B12" s="425" t="s">
        <v>181</v>
      </c>
      <c r="C12" s="424">
        <v>0</v>
      </c>
    </row>
    <row r="13" spans="2:4" ht="30" customHeight="1" x14ac:dyDescent="0.3">
      <c r="B13" s="425" t="s">
        <v>182</v>
      </c>
      <c r="C13" s="424">
        <v>0</v>
      </c>
    </row>
    <row r="14" spans="2:4" ht="30" customHeight="1" x14ac:dyDescent="0.3">
      <c r="B14" s="425" t="s">
        <v>183</v>
      </c>
      <c r="C14" s="424">
        <v>0</v>
      </c>
    </row>
    <row r="15" spans="2:4" ht="30" customHeight="1" x14ac:dyDescent="0.3">
      <c r="B15" s="425" t="s">
        <v>184</v>
      </c>
      <c r="C15" s="424">
        <v>0</v>
      </c>
    </row>
    <row r="16" spans="2:4" ht="16" x14ac:dyDescent="0.3">
      <c r="B16" s="426" t="s">
        <v>185</v>
      </c>
      <c r="C16" s="424">
        <f>SUM(C7:C15)</f>
        <v>37922</v>
      </c>
    </row>
  </sheetData>
  <mergeCells count="2">
    <mergeCell ref="B3:D3"/>
    <mergeCell ref="B5: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2:M49"/>
  <sheetViews>
    <sheetView topLeftCell="A11" zoomScale="89" zoomScaleNormal="89" workbookViewId="0">
      <selection activeCell="N8" sqref="N8"/>
    </sheetView>
  </sheetViews>
  <sheetFormatPr defaultColWidth="8.81640625" defaultRowHeight="14.5" x14ac:dyDescent="0.35"/>
  <cols>
    <col min="1" max="1" width="8.81640625" customWidth="1"/>
    <col min="2" max="2" width="60.81640625" customWidth="1"/>
    <col min="3" max="3" width="13.453125" bestFit="1" customWidth="1"/>
    <col min="4" max="4" width="13.7265625" customWidth="1"/>
    <col min="5" max="5" width="10.81640625" customWidth="1"/>
    <col min="6" max="6" width="12" bestFit="1" customWidth="1"/>
    <col min="7" max="7" width="13.453125" bestFit="1" customWidth="1"/>
    <col min="8" max="13" width="14.1796875" style="4" customWidth="1"/>
    <col min="14" max="14" width="14.1796875" customWidth="1"/>
  </cols>
  <sheetData>
    <row r="2" spans="1:13" ht="15" thickBot="1" x14ac:dyDescent="0.4">
      <c r="B2" t="s">
        <v>186</v>
      </c>
    </row>
    <row r="3" spans="1:13" ht="43.5" x14ac:dyDescent="0.35">
      <c r="B3" s="428"/>
      <c r="C3" s="297" t="s">
        <v>1</v>
      </c>
      <c r="D3" s="296" t="s">
        <v>187</v>
      </c>
      <c r="E3" s="296" t="s">
        <v>111</v>
      </c>
      <c r="F3" s="296" t="s">
        <v>188</v>
      </c>
      <c r="G3" s="295" t="s">
        <v>189</v>
      </c>
      <c r="H3" s="429" t="s">
        <v>24</v>
      </c>
      <c r="I3" s="430" t="s">
        <v>17</v>
      </c>
      <c r="J3" s="430" t="s">
        <v>19</v>
      </c>
      <c r="K3" s="430" t="s">
        <v>25</v>
      </c>
      <c r="L3" s="430" t="s">
        <v>37</v>
      </c>
      <c r="M3" s="431" t="s">
        <v>23</v>
      </c>
    </row>
    <row r="4" spans="1:13" s="291" customFormat="1" x14ac:dyDescent="0.35">
      <c r="A4" s="432" t="s">
        <v>190</v>
      </c>
      <c r="C4" s="293"/>
      <c r="G4" s="292"/>
      <c r="H4" s="433" t="s">
        <v>191</v>
      </c>
      <c r="I4" s="434" t="s">
        <v>192</v>
      </c>
      <c r="J4" s="434" t="s">
        <v>193</v>
      </c>
      <c r="K4" s="434" t="s">
        <v>194</v>
      </c>
      <c r="L4" s="435"/>
      <c r="M4" s="436"/>
    </row>
    <row r="5" spans="1:13" x14ac:dyDescent="0.35">
      <c r="A5">
        <v>1</v>
      </c>
      <c r="B5" t="s">
        <v>195</v>
      </c>
      <c r="C5" s="369">
        <f>SUM(H5,K5)</f>
        <v>0</v>
      </c>
      <c r="D5" s="437">
        <f>SUM(I5,J5)</f>
        <v>0</v>
      </c>
      <c r="E5" s="437">
        <f>M5</f>
        <v>0</v>
      </c>
      <c r="F5" s="437">
        <f>L5</f>
        <v>0</v>
      </c>
      <c r="G5" s="438">
        <f>SUM(C5:F5)</f>
        <v>0</v>
      </c>
      <c r="H5" s="366">
        <v>0</v>
      </c>
      <c r="I5" s="4">
        <v>0</v>
      </c>
      <c r="J5" s="4">
        <v>0</v>
      </c>
      <c r="K5" s="4">
        <v>0</v>
      </c>
      <c r="L5" s="4">
        <v>0</v>
      </c>
      <c r="M5" s="367">
        <v>0</v>
      </c>
    </row>
    <row r="6" spans="1:13" x14ac:dyDescent="0.35">
      <c r="A6">
        <v>2</v>
      </c>
      <c r="B6" t="s">
        <v>196</v>
      </c>
      <c r="C6" s="369">
        <f t="shared" ref="C6:C16" si="0">SUM(H6,K6)</f>
        <v>0</v>
      </c>
      <c r="D6" s="437">
        <f t="shared" ref="D6:D16" si="1">SUM(I6,J6)</f>
        <v>0</v>
      </c>
      <c r="E6" s="437">
        <f t="shared" ref="E6:E16" si="2">M6</f>
        <v>0</v>
      </c>
      <c r="F6" s="437">
        <f t="shared" ref="F6:F16" si="3">L6</f>
        <v>0</v>
      </c>
      <c r="G6" s="438">
        <f t="shared" ref="G6:G16" si="4">SUM(C6:F6)</f>
        <v>0</v>
      </c>
      <c r="H6" s="366">
        <v>0</v>
      </c>
      <c r="I6" s="4">
        <v>0</v>
      </c>
      <c r="J6" s="4">
        <v>0</v>
      </c>
      <c r="K6" s="4">
        <v>0</v>
      </c>
      <c r="L6" s="4">
        <v>0</v>
      </c>
      <c r="M6" s="367">
        <v>0</v>
      </c>
    </row>
    <row r="7" spans="1:13" x14ac:dyDescent="0.35">
      <c r="A7">
        <v>3</v>
      </c>
      <c r="B7" t="s">
        <v>197</v>
      </c>
      <c r="C7" s="369">
        <f t="shared" si="0"/>
        <v>0</v>
      </c>
      <c r="D7" s="437">
        <f t="shared" si="1"/>
        <v>0</v>
      </c>
      <c r="E7" s="437">
        <f t="shared" si="2"/>
        <v>0</v>
      </c>
      <c r="F7" s="437">
        <f t="shared" si="3"/>
        <v>0</v>
      </c>
      <c r="G7" s="438">
        <f t="shared" si="4"/>
        <v>0</v>
      </c>
      <c r="H7" s="366">
        <v>0</v>
      </c>
      <c r="I7" s="4">
        <v>0</v>
      </c>
      <c r="J7" s="4">
        <v>0</v>
      </c>
      <c r="K7" s="4">
        <v>0</v>
      </c>
      <c r="L7" s="4">
        <v>0</v>
      </c>
      <c r="M7" s="367">
        <v>0</v>
      </c>
    </row>
    <row r="8" spans="1:13" x14ac:dyDescent="0.35">
      <c r="A8">
        <v>4</v>
      </c>
      <c r="B8" t="s">
        <v>198</v>
      </c>
      <c r="C8" s="369">
        <f t="shared" si="0"/>
        <v>4620362.2240590388</v>
      </c>
      <c r="D8" s="437">
        <f t="shared" si="1"/>
        <v>2887663.8155817701</v>
      </c>
      <c r="E8" s="437">
        <f t="shared" si="2"/>
        <v>0</v>
      </c>
      <c r="F8" s="437">
        <f t="shared" si="3"/>
        <v>1377391.3680461801</v>
      </c>
      <c r="G8" s="438">
        <f t="shared" si="4"/>
        <v>8885417.4076869879</v>
      </c>
      <c r="H8" s="366">
        <v>4589880.4820758495</v>
      </c>
      <c r="I8" s="4">
        <v>0</v>
      </c>
      <c r="J8" s="4">
        <v>2887663.8155817701</v>
      </c>
      <c r="K8" s="4">
        <v>30481.7419831888</v>
      </c>
      <c r="L8" s="4">
        <v>1377391.3680461801</v>
      </c>
      <c r="M8" s="367">
        <v>0</v>
      </c>
    </row>
    <row r="9" spans="1:13" x14ac:dyDescent="0.35">
      <c r="A9">
        <v>5</v>
      </c>
      <c r="B9" t="s">
        <v>199</v>
      </c>
      <c r="C9" s="369">
        <f t="shared" si="0"/>
        <v>601784.26675324503</v>
      </c>
      <c r="D9" s="437">
        <f t="shared" si="1"/>
        <v>611490.45566773799</v>
      </c>
      <c r="E9" s="437">
        <f t="shared" si="2"/>
        <v>0</v>
      </c>
      <c r="F9" s="437">
        <f t="shared" si="3"/>
        <v>363723.02724164998</v>
      </c>
      <c r="G9" s="438">
        <f t="shared" si="4"/>
        <v>1576997.7496626331</v>
      </c>
      <c r="H9" s="366">
        <v>600535.31765057298</v>
      </c>
      <c r="I9" s="4">
        <v>0</v>
      </c>
      <c r="J9" s="4">
        <v>611490.45566773799</v>
      </c>
      <c r="K9" s="4">
        <v>1248.94910267209</v>
      </c>
      <c r="L9" s="4">
        <v>363723.02724164998</v>
      </c>
      <c r="M9" s="367">
        <v>0</v>
      </c>
    </row>
    <row r="10" spans="1:13" x14ac:dyDescent="0.35">
      <c r="A10">
        <v>6</v>
      </c>
      <c r="B10" t="s">
        <v>200</v>
      </c>
      <c r="C10" s="369">
        <f t="shared" si="0"/>
        <v>-217837.812945135</v>
      </c>
      <c r="D10" s="437">
        <f t="shared" si="1"/>
        <v>-77179.924581405299</v>
      </c>
      <c r="E10" s="437">
        <f t="shared" si="2"/>
        <v>0</v>
      </c>
      <c r="F10" s="437">
        <f t="shared" si="3"/>
        <v>0</v>
      </c>
      <c r="G10" s="438">
        <f t="shared" si="4"/>
        <v>-295017.7375265403</v>
      </c>
      <c r="H10" s="366">
        <v>-217837.812945135</v>
      </c>
      <c r="I10" s="4">
        <v>0</v>
      </c>
      <c r="J10" s="4">
        <v>-77179.924581405299</v>
      </c>
      <c r="K10" s="4">
        <v>0</v>
      </c>
      <c r="L10" s="4">
        <v>0</v>
      </c>
      <c r="M10" s="367">
        <v>0</v>
      </c>
    </row>
    <row r="11" spans="1:13" x14ac:dyDescent="0.35">
      <c r="A11">
        <v>7</v>
      </c>
      <c r="B11" t="s">
        <v>201</v>
      </c>
      <c r="C11" s="369">
        <f t="shared" si="0"/>
        <v>0</v>
      </c>
      <c r="D11" s="437">
        <f t="shared" si="1"/>
        <v>0</v>
      </c>
      <c r="E11" s="437">
        <f t="shared" si="2"/>
        <v>0</v>
      </c>
      <c r="F11" s="437">
        <f t="shared" si="3"/>
        <v>0</v>
      </c>
      <c r="G11" s="438">
        <f t="shared" si="4"/>
        <v>0</v>
      </c>
      <c r="H11" s="366">
        <v>0</v>
      </c>
      <c r="I11" s="4">
        <v>0</v>
      </c>
      <c r="J11" s="4">
        <v>0</v>
      </c>
      <c r="K11" s="4">
        <v>0</v>
      </c>
      <c r="L11" s="4">
        <v>0</v>
      </c>
      <c r="M11" s="367">
        <v>0</v>
      </c>
    </row>
    <row r="12" spans="1:13" x14ac:dyDescent="0.35">
      <c r="A12">
        <v>8</v>
      </c>
      <c r="B12" t="s">
        <v>202</v>
      </c>
      <c r="C12" s="369">
        <f t="shared" si="0"/>
        <v>0</v>
      </c>
      <c r="D12" s="437">
        <f t="shared" si="1"/>
        <v>0</v>
      </c>
      <c r="E12" s="437">
        <f t="shared" si="2"/>
        <v>0</v>
      </c>
      <c r="F12" s="437">
        <f t="shared" si="3"/>
        <v>0</v>
      </c>
      <c r="G12" s="438">
        <f t="shared" si="4"/>
        <v>0</v>
      </c>
      <c r="H12" s="366">
        <v>0</v>
      </c>
      <c r="I12" s="4">
        <v>0</v>
      </c>
      <c r="J12" s="4">
        <v>0</v>
      </c>
      <c r="K12" s="4">
        <v>0</v>
      </c>
      <c r="L12" s="4">
        <v>0</v>
      </c>
      <c r="M12" s="367">
        <v>0</v>
      </c>
    </row>
    <row r="13" spans="1:13" x14ac:dyDescent="0.35">
      <c r="B13" s="290" t="s">
        <v>203</v>
      </c>
      <c r="C13" s="439">
        <f>SUM(C5:C12)</f>
        <v>5004308.677867149</v>
      </c>
      <c r="D13" s="439">
        <f t="shared" ref="D13:F13" si="5">SUM(D5:D12)</f>
        <v>3421974.3466681028</v>
      </c>
      <c r="E13" s="439">
        <f t="shared" si="5"/>
        <v>0</v>
      </c>
      <c r="F13" s="439">
        <f t="shared" si="5"/>
        <v>1741114.3952878301</v>
      </c>
      <c r="G13" s="439">
        <f>SUM(G5:G12)</f>
        <v>10167397.41982308</v>
      </c>
      <c r="H13" s="439">
        <f>SUM(H5:H12)</f>
        <v>4972577.9867812879</v>
      </c>
      <c r="I13" s="439">
        <f t="shared" ref="I13:M13" si="6">SUM(I5:I12)</f>
        <v>0</v>
      </c>
      <c r="J13" s="439">
        <f t="shared" si="6"/>
        <v>3421974.3466681028</v>
      </c>
      <c r="K13" s="439">
        <f t="shared" si="6"/>
        <v>31730.69108586089</v>
      </c>
      <c r="L13" s="439">
        <f t="shared" si="6"/>
        <v>1741114.3952878301</v>
      </c>
      <c r="M13" s="439">
        <f t="shared" si="6"/>
        <v>0</v>
      </c>
    </row>
    <row r="14" spans="1:13" x14ac:dyDescent="0.35">
      <c r="A14">
        <v>9</v>
      </c>
      <c r="B14" t="s">
        <v>204</v>
      </c>
      <c r="C14" s="369">
        <f t="shared" si="0"/>
        <v>3539264.7469773497</v>
      </c>
      <c r="D14" s="437">
        <f t="shared" si="1"/>
        <v>3769886.8480523201</v>
      </c>
      <c r="E14" s="437">
        <f t="shared" si="2"/>
        <v>156798.84122594999</v>
      </c>
      <c r="F14" s="437">
        <f t="shared" si="3"/>
        <v>496107.19</v>
      </c>
      <c r="G14" s="438">
        <f t="shared" si="4"/>
        <v>7962057.6262556203</v>
      </c>
      <c r="H14" s="366">
        <v>2089271.0845550101</v>
      </c>
      <c r="I14" s="4">
        <v>1454790.82744243</v>
      </c>
      <c r="J14" s="4">
        <v>2315096.0206098901</v>
      </c>
      <c r="K14" s="4">
        <v>1449993.6624223399</v>
      </c>
      <c r="L14" s="4">
        <v>496107.19</v>
      </c>
      <c r="M14" s="367">
        <v>156798.84122594999</v>
      </c>
    </row>
    <row r="15" spans="1:13" x14ac:dyDescent="0.35">
      <c r="A15">
        <v>10</v>
      </c>
      <c r="B15" t="s">
        <v>205</v>
      </c>
      <c r="C15" s="369">
        <f t="shared" si="0"/>
        <v>1318036.0664976579</v>
      </c>
      <c r="D15" s="437">
        <f t="shared" si="1"/>
        <v>2455480.08</v>
      </c>
      <c r="E15" s="437">
        <f t="shared" si="2"/>
        <v>0</v>
      </c>
      <c r="F15" s="437">
        <f t="shared" si="3"/>
        <v>254445.81</v>
      </c>
      <c r="G15" s="438">
        <f t="shared" si="4"/>
        <v>4027961.956497658</v>
      </c>
      <c r="H15" s="366">
        <v>1225016.5375000001</v>
      </c>
      <c r="I15" s="4">
        <v>0</v>
      </c>
      <c r="J15" s="4">
        <v>2455480.08</v>
      </c>
      <c r="K15" s="4">
        <v>93019.528997657704</v>
      </c>
      <c r="L15" s="4">
        <v>254445.81</v>
      </c>
      <c r="M15" s="367">
        <v>0</v>
      </c>
    </row>
    <row r="16" spans="1:13" x14ac:dyDescent="0.35">
      <c r="A16">
        <v>11</v>
      </c>
      <c r="B16" t="s">
        <v>206</v>
      </c>
      <c r="C16" s="369">
        <f t="shared" si="0"/>
        <v>880375.32783382863</v>
      </c>
      <c r="D16" s="437">
        <f t="shared" si="1"/>
        <v>1210927.73</v>
      </c>
      <c r="E16" s="437">
        <f t="shared" si="2"/>
        <v>0</v>
      </c>
      <c r="F16" s="437">
        <f t="shared" si="3"/>
        <v>254445.81</v>
      </c>
      <c r="G16" s="438">
        <f t="shared" si="4"/>
        <v>2345748.8678338286</v>
      </c>
      <c r="H16" s="366">
        <v>826683.59025617095</v>
      </c>
      <c r="I16" s="4">
        <v>0</v>
      </c>
      <c r="J16" s="4">
        <v>1210927.73</v>
      </c>
      <c r="K16" s="4">
        <v>53691.737577657703</v>
      </c>
      <c r="L16" s="4">
        <v>254445.81</v>
      </c>
      <c r="M16" s="367">
        <v>0</v>
      </c>
    </row>
    <row r="17" spans="1:13" x14ac:dyDescent="0.35">
      <c r="B17" t="s">
        <v>207</v>
      </c>
      <c r="C17" s="369">
        <f>SUM(H17,K17)</f>
        <v>4857300.8134750072</v>
      </c>
      <c r="D17" s="440">
        <f>SUM(D14:D15)</f>
        <v>6225366.9280523201</v>
      </c>
      <c r="E17" s="366">
        <f>SUM(E14:E15)</f>
        <v>156798.84122594999</v>
      </c>
      <c r="F17" s="366">
        <f>SUM(F14:F15)</f>
        <v>750553</v>
      </c>
      <c r="G17" s="438">
        <f>SUM(C17:F17)</f>
        <v>11990019.582753276</v>
      </c>
      <c r="H17" s="366">
        <f>SUM(H14:H15)</f>
        <v>3314287.6220550099</v>
      </c>
      <c r="I17" s="366">
        <f t="shared" ref="I17:M17" si="7">SUM(I14:I15)</f>
        <v>1454790.82744243</v>
      </c>
      <c r="J17" s="366">
        <f t="shared" si="7"/>
        <v>4770576.1006098902</v>
      </c>
      <c r="K17" s="366">
        <f t="shared" si="7"/>
        <v>1543013.1914199977</v>
      </c>
      <c r="L17" s="366">
        <f t="shared" si="7"/>
        <v>750553</v>
      </c>
      <c r="M17" s="441">
        <f t="shared" si="7"/>
        <v>156798.84122594999</v>
      </c>
    </row>
    <row r="18" spans="1:13" x14ac:dyDescent="0.35">
      <c r="B18" s="290" t="s">
        <v>208</v>
      </c>
      <c r="C18" s="442">
        <f>IFERROR(C13/C17,0)</f>
        <v>1.0302653407802778</v>
      </c>
      <c r="D18" s="442">
        <f>IFERROR(D13/D17,0)</f>
        <v>0.54968235386226594</v>
      </c>
      <c r="E18" s="442">
        <f t="shared" ref="E18:F18" si="8">IFERROR(E13/E17,0)</f>
        <v>0</v>
      </c>
      <c r="F18" s="442">
        <f t="shared" si="8"/>
        <v>2.3197754126461825</v>
      </c>
      <c r="G18" s="442">
        <f t="shared" ref="G18" si="9">G13/G17</f>
        <v>0.8479883914825378</v>
      </c>
      <c r="H18" s="442">
        <f>H13/H17</f>
        <v>1.5003459427272223</v>
      </c>
      <c r="I18" s="442">
        <f t="shared" ref="I18:M18" si="10">I13/I17</f>
        <v>0</v>
      </c>
      <c r="J18" s="442">
        <f t="shared" si="10"/>
        <v>0.71730840772682014</v>
      </c>
      <c r="K18" s="442">
        <f t="shared" si="10"/>
        <v>2.056410875960166E-2</v>
      </c>
      <c r="L18" s="442">
        <f t="shared" si="10"/>
        <v>2.3197754126461825</v>
      </c>
      <c r="M18" s="443">
        <f t="shared" si="10"/>
        <v>0</v>
      </c>
    </row>
    <row r="19" spans="1:13" x14ac:dyDescent="0.35">
      <c r="C19" s="288"/>
      <c r="G19" s="287"/>
      <c r="H19" s="366"/>
      <c r="M19" s="367"/>
    </row>
    <row r="20" spans="1:13" s="291" customFormat="1" x14ac:dyDescent="0.35">
      <c r="A20" s="432" t="s">
        <v>209</v>
      </c>
      <c r="C20" s="293"/>
      <c r="G20" s="292"/>
      <c r="H20" s="444"/>
      <c r="I20" s="435"/>
      <c r="J20" s="435"/>
      <c r="K20" s="435"/>
      <c r="L20" s="435"/>
      <c r="M20" s="436"/>
    </row>
    <row r="21" spans="1:13" x14ac:dyDescent="0.35">
      <c r="A21">
        <v>12</v>
      </c>
      <c r="B21" t="s">
        <v>210</v>
      </c>
      <c r="C21" s="369">
        <f t="shared" ref="C21:C22" si="11">SUM(H21,K21)</f>
        <v>17811851.25247582</v>
      </c>
      <c r="D21" s="437">
        <f t="shared" ref="D21:D22" si="12">SUM(I21,J21)</f>
        <v>9340445.612590095</v>
      </c>
      <c r="E21" s="437">
        <f t="shared" ref="E21:E22" si="13">M21</f>
        <v>0</v>
      </c>
      <c r="F21" s="437">
        <f t="shared" ref="F21:F22" si="14">L21</f>
        <v>5614859.2995833913</v>
      </c>
      <c r="G21" s="438">
        <f t="shared" ref="G21:G22" si="15">SUM(C21:F21)</f>
        <v>32767156.164649308</v>
      </c>
      <c r="H21" s="366">
        <v>17639029.582750607</v>
      </c>
      <c r="I21" s="4">
        <v>0</v>
      </c>
      <c r="J21" s="4">
        <v>9340445.612590095</v>
      </c>
      <c r="K21" s="4">
        <v>172821.66972521271</v>
      </c>
      <c r="L21" s="4">
        <v>5614859.2995833913</v>
      </c>
      <c r="M21" s="367">
        <v>0</v>
      </c>
    </row>
    <row r="22" spans="1:13" x14ac:dyDescent="0.35">
      <c r="A22">
        <v>13</v>
      </c>
      <c r="B22" t="s">
        <v>211</v>
      </c>
      <c r="C22" s="369">
        <f t="shared" si="11"/>
        <v>1318036.0664976579</v>
      </c>
      <c r="D22" s="437">
        <f t="shared" si="12"/>
        <v>2455480.08</v>
      </c>
      <c r="E22" s="437">
        <f t="shared" si="13"/>
        <v>0</v>
      </c>
      <c r="F22" s="437">
        <f t="shared" si="14"/>
        <v>220878.44000000099</v>
      </c>
      <c r="G22" s="438">
        <f t="shared" si="15"/>
        <v>3994394.5864976589</v>
      </c>
      <c r="H22" s="366">
        <v>1225016.5375000001</v>
      </c>
      <c r="I22" s="4">
        <v>0</v>
      </c>
      <c r="J22" s="4">
        <v>2455480.08</v>
      </c>
      <c r="K22" s="4">
        <v>93019.528997657704</v>
      </c>
      <c r="L22" s="4">
        <v>220878.44000000099</v>
      </c>
      <c r="M22" s="367"/>
    </row>
    <row r="23" spans="1:13" x14ac:dyDescent="0.35">
      <c r="B23" s="289" t="s">
        <v>212</v>
      </c>
      <c r="C23" s="442">
        <f>IFERROR(C21/C22,0)</f>
        <v>13.513933120059633</v>
      </c>
      <c r="D23" s="442">
        <f t="shared" ref="D23:F23" si="16">IFERROR(D21/D22,0)</f>
        <v>3.8039183004042512</v>
      </c>
      <c r="E23" s="442">
        <f t="shared" si="16"/>
        <v>0</v>
      </c>
      <c r="F23" s="442">
        <f t="shared" si="16"/>
        <v>25.420585637889175</v>
      </c>
      <c r="G23" s="442">
        <f t="shared" ref="G23" si="17">G21/G22</f>
        <v>8.2032847419263124</v>
      </c>
      <c r="H23" s="442">
        <f>H21/H22</f>
        <v>14.39901343597217</v>
      </c>
      <c r="I23" s="442">
        <f>IFERROR(I21/I22,0)</f>
        <v>0</v>
      </c>
      <c r="J23" s="442">
        <f t="shared" ref="J23:L23" si="18">J21/J22</f>
        <v>3.8039183004042512</v>
      </c>
      <c r="K23" s="442">
        <f t="shared" si="18"/>
        <v>1.8579073834007962</v>
      </c>
      <c r="L23" s="442">
        <f t="shared" si="18"/>
        <v>25.420585637889175</v>
      </c>
      <c r="M23" s="442">
        <f>IFERROR(M21/M22,0)</f>
        <v>0</v>
      </c>
    </row>
    <row r="24" spans="1:13" x14ac:dyDescent="0.35">
      <c r="C24" s="288"/>
      <c r="G24" s="287"/>
      <c r="H24" s="366"/>
      <c r="M24" s="367"/>
    </row>
    <row r="25" spans="1:13" s="291" customFormat="1" x14ac:dyDescent="0.35">
      <c r="A25" s="432" t="s">
        <v>213</v>
      </c>
      <c r="C25" s="293"/>
      <c r="G25" s="292"/>
      <c r="H25" s="444"/>
      <c r="I25" s="435"/>
      <c r="J25" s="435"/>
      <c r="K25" s="435"/>
      <c r="L25" s="435"/>
      <c r="M25" s="436"/>
    </row>
    <row r="26" spans="1:13" x14ac:dyDescent="0.35">
      <c r="B26" s="289" t="s">
        <v>214</v>
      </c>
      <c r="C26" s="442">
        <f>IFERROR(C13/(C14+C16),0)</f>
        <v>1.1322887369014885</v>
      </c>
      <c r="D26" s="442">
        <f t="shared" ref="D26:F26" si="19">IFERROR(D13/(D14+D16),0)</f>
        <v>0.6870310655102162</v>
      </c>
      <c r="E26" s="442">
        <f t="shared" si="19"/>
        <v>0</v>
      </c>
      <c r="F26" s="442">
        <f t="shared" si="19"/>
        <v>2.3197754126461825</v>
      </c>
      <c r="G26" s="442">
        <f t="shared" ref="G26" si="20">G13/(G14+G16)</f>
        <v>0.98637837503576731</v>
      </c>
      <c r="H26" s="442">
        <f>H13/(H14+H16)</f>
        <v>1.7053001645518653</v>
      </c>
      <c r="I26" s="442">
        <f t="shared" ref="I26:M26" si="21">I13/(I14+I16)</f>
        <v>0</v>
      </c>
      <c r="J26" s="442">
        <f t="shared" si="21"/>
        <v>0.97049100876765504</v>
      </c>
      <c r="K26" s="442">
        <f t="shared" si="21"/>
        <v>2.1101947977855567E-2</v>
      </c>
      <c r="L26" s="442">
        <f t="shared" si="21"/>
        <v>2.3197754126461825</v>
      </c>
      <c r="M26" s="442">
        <f t="shared" si="21"/>
        <v>0</v>
      </c>
    </row>
    <row r="27" spans="1:13" x14ac:dyDescent="0.35">
      <c r="C27" s="288"/>
      <c r="G27" s="287"/>
      <c r="H27" s="366"/>
      <c r="M27" s="367"/>
    </row>
    <row r="28" spans="1:13" s="291" customFormat="1" x14ac:dyDescent="0.35">
      <c r="A28" s="432" t="s">
        <v>215</v>
      </c>
      <c r="C28" s="293"/>
      <c r="G28" s="292"/>
      <c r="H28" s="444"/>
      <c r="I28" s="435"/>
      <c r="J28" s="435"/>
      <c r="K28" s="435"/>
      <c r="L28" s="435"/>
      <c r="M28" s="436"/>
    </row>
    <row r="29" spans="1:13" x14ac:dyDescent="0.35">
      <c r="A29">
        <v>14</v>
      </c>
      <c r="B29" t="s">
        <v>216</v>
      </c>
      <c r="C29" s="369">
        <f t="shared" ref="C29:C30" si="22">SUM(H29,K29)</f>
        <v>5004308.677867149</v>
      </c>
      <c r="D29" s="437">
        <f t="shared" ref="D29:D30" si="23">SUM(I29,J29)</f>
        <v>3421974.3466681028</v>
      </c>
      <c r="E29" s="437">
        <f t="shared" ref="E29:E30" si="24">M29</f>
        <v>0</v>
      </c>
      <c r="F29" s="437">
        <f t="shared" ref="F29:F30" si="25">L29</f>
        <v>1741114.3952878301</v>
      </c>
      <c r="G29" s="438">
        <f t="shared" ref="G29:G30" si="26">SUM(C29:F29)</f>
        <v>10167397.419823082</v>
      </c>
      <c r="H29" s="4">
        <f>H13</f>
        <v>4972577.9867812879</v>
      </c>
      <c r="I29" s="4">
        <f t="shared" ref="I29:M29" si="27">I13</f>
        <v>0</v>
      </c>
      <c r="J29" s="4">
        <f t="shared" si="27"/>
        <v>3421974.3466681028</v>
      </c>
      <c r="K29" s="4">
        <f t="shared" si="27"/>
        <v>31730.69108586089</v>
      </c>
      <c r="L29" s="4">
        <f t="shared" si="27"/>
        <v>1741114.3952878301</v>
      </c>
      <c r="M29" s="445">
        <f t="shared" si="27"/>
        <v>0</v>
      </c>
    </row>
    <row r="30" spans="1:13" x14ac:dyDescent="0.35">
      <c r="A30">
        <v>15</v>
      </c>
      <c r="B30" t="s">
        <v>217</v>
      </c>
      <c r="C30" s="369">
        <f t="shared" si="22"/>
        <v>21351115.999453172</v>
      </c>
      <c r="D30" s="437">
        <f t="shared" si="23"/>
        <v>13110332.460642416</v>
      </c>
      <c r="E30" s="437">
        <f t="shared" si="24"/>
        <v>156798.84122594999</v>
      </c>
      <c r="F30" s="437">
        <f t="shared" si="25"/>
        <v>6144533.8595833899</v>
      </c>
      <c r="G30" s="438">
        <f t="shared" si="26"/>
        <v>40762781.160904929</v>
      </c>
      <c r="H30" s="366">
        <v>19728300.667305619</v>
      </c>
      <c r="I30" s="4">
        <v>1454790.82744243</v>
      </c>
      <c r="J30" s="4">
        <v>11655541.633199986</v>
      </c>
      <c r="K30" s="4">
        <v>1622815.3321475526</v>
      </c>
      <c r="L30" s="4">
        <v>6144533.8595833899</v>
      </c>
      <c r="M30" s="367">
        <v>156798.84122594999</v>
      </c>
    </row>
    <row r="31" spans="1:13" x14ac:dyDescent="0.35">
      <c r="B31" s="289" t="s">
        <v>218</v>
      </c>
      <c r="C31" s="442">
        <f>IFERROR(C29/C30,0)</f>
        <v>0.23438159757060545</v>
      </c>
      <c r="D31" s="442">
        <f t="shared" ref="D31:F31" si="28">IFERROR(D29/D30,0)</f>
        <v>0.26101354461764914</v>
      </c>
      <c r="E31" s="442">
        <f t="shared" si="28"/>
        <v>0</v>
      </c>
      <c r="F31" s="442">
        <f t="shared" si="28"/>
        <v>0.28335988295878328</v>
      </c>
      <c r="G31" s="442">
        <f t="shared" ref="G31" si="29">G29/G30</f>
        <v>0.24942845238377662</v>
      </c>
      <c r="H31" s="442">
        <f>H29/H30</f>
        <v>0.25205303136027352</v>
      </c>
      <c r="I31" s="442">
        <f t="shared" ref="I31:M31" si="30">I29/I30</f>
        <v>0</v>
      </c>
      <c r="J31" s="442">
        <f t="shared" si="30"/>
        <v>0.29359204868874139</v>
      </c>
      <c r="K31" s="442">
        <f t="shared" si="30"/>
        <v>1.9552866217914074E-2</v>
      </c>
      <c r="L31" s="442">
        <f t="shared" si="30"/>
        <v>0.28335988295878328</v>
      </c>
      <c r="M31" s="442">
        <f t="shared" si="30"/>
        <v>0</v>
      </c>
    </row>
    <row r="32" spans="1:13" x14ac:dyDescent="0.35">
      <c r="C32" s="288"/>
      <c r="G32" s="287"/>
      <c r="H32" s="366"/>
      <c r="M32" s="367"/>
    </row>
    <row r="33" spans="1:13" s="291" customFormat="1" x14ac:dyDescent="0.35">
      <c r="A33" s="432" t="s">
        <v>219</v>
      </c>
      <c r="C33" s="293"/>
      <c r="G33" s="292"/>
      <c r="H33" s="444"/>
      <c r="I33" s="435"/>
      <c r="J33" s="435"/>
      <c r="K33" s="435"/>
      <c r="L33" s="435"/>
      <c r="M33" s="436"/>
    </row>
    <row r="34" spans="1:13" x14ac:dyDescent="0.35">
      <c r="A34">
        <v>16</v>
      </c>
      <c r="B34" t="s">
        <v>195</v>
      </c>
      <c r="C34" s="369">
        <f t="shared" ref="C34:C42" si="31">SUM(H34,K34)</f>
        <v>0</v>
      </c>
      <c r="D34" s="437">
        <f t="shared" ref="D34:D42" si="32">SUM(I34,J34)</f>
        <v>0</v>
      </c>
      <c r="E34" s="437">
        <f t="shared" ref="E34:E47" si="33">M34</f>
        <v>0</v>
      </c>
      <c r="F34" s="437">
        <f t="shared" ref="F34:F42" si="34">L34</f>
        <v>0</v>
      </c>
      <c r="G34" s="438">
        <f t="shared" ref="G34:G48" si="35">SUM(C34:F34)</f>
        <v>0</v>
      </c>
      <c r="H34" s="366">
        <v>0</v>
      </c>
      <c r="I34" s="4">
        <v>0</v>
      </c>
      <c r="J34" s="4">
        <v>0</v>
      </c>
      <c r="K34" s="4">
        <v>0</v>
      </c>
      <c r="L34" s="4">
        <v>0</v>
      </c>
      <c r="M34" s="367">
        <v>0</v>
      </c>
    </row>
    <row r="35" spans="1:13" x14ac:dyDescent="0.35">
      <c r="A35">
        <v>17</v>
      </c>
      <c r="B35" t="s">
        <v>196</v>
      </c>
      <c r="C35" s="369">
        <f t="shared" si="31"/>
        <v>0</v>
      </c>
      <c r="D35" s="437">
        <f t="shared" si="32"/>
        <v>0</v>
      </c>
      <c r="E35" s="437">
        <f t="shared" si="33"/>
        <v>0</v>
      </c>
      <c r="F35" s="437">
        <f t="shared" si="34"/>
        <v>0</v>
      </c>
      <c r="G35" s="438">
        <f t="shared" si="35"/>
        <v>0</v>
      </c>
      <c r="H35" s="366">
        <v>0</v>
      </c>
      <c r="I35" s="4">
        <v>0</v>
      </c>
      <c r="J35" s="4">
        <v>0</v>
      </c>
      <c r="K35" s="4">
        <v>0</v>
      </c>
      <c r="L35" s="4">
        <v>0</v>
      </c>
      <c r="M35" s="367">
        <v>0</v>
      </c>
    </row>
    <row r="36" spans="1:13" x14ac:dyDescent="0.35">
      <c r="A36">
        <v>18</v>
      </c>
      <c r="B36" t="s">
        <v>197</v>
      </c>
      <c r="C36" s="369">
        <f t="shared" si="31"/>
        <v>0</v>
      </c>
      <c r="D36" s="437">
        <f t="shared" si="32"/>
        <v>0</v>
      </c>
      <c r="E36" s="437">
        <f t="shared" si="33"/>
        <v>0</v>
      </c>
      <c r="F36" s="437">
        <f t="shared" si="34"/>
        <v>0</v>
      </c>
      <c r="G36" s="438">
        <f t="shared" si="35"/>
        <v>0</v>
      </c>
      <c r="H36" s="366">
        <v>0</v>
      </c>
      <c r="I36" s="4">
        <v>0</v>
      </c>
      <c r="J36" s="4">
        <v>0</v>
      </c>
      <c r="K36" s="4">
        <v>0</v>
      </c>
      <c r="L36" s="4">
        <v>0</v>
      </c>
      <c r="M36" s="367">
        <v>0</v>
      </c>
    </row>
    <row r="37" spans="1:13" x14ac:dyDescent="0.35">
      <c r="A37">
        <v>19</v>
      </c>
      <c r="B37" t="s">
        <v>198</v>
      </c>
      <c r="C37" s="369">
        <f t="shared" si="31"/>
        <v>13563445.223893972</v>
      </c>
      <c r="D37" s="437">
        <f t="shared" si="32"/>
        <v>6767899.6922856104</v>
      </c>
      <c r="E37" s="437">
        <f t="shared" si="33"/>
        <v>0</v>
      </c>
      <c r="F37" s="437">
        <f t="shared" si="34"/>
        <v>3840063.98022677</v>
      </c>
      <c r="G37" s="438">
        <f t="shared" si="35"/>
        <v>24171408.896406353</v>
      </c>
      <c r="H37" s="366">
        <v>13468856.445981899</v>
      </c>
      <c r="I37" s="4">
        <v>0</v>
      </c>
      <c r="J37" s="4">
        <v>6767899.6922856104</v>
      </c>
      <c r="K37" s="4">
        <v>94588.777912072896</v>
      </c>
      <c r="L37" s="4">
        <v>3840063.98022677</v>
      </c>
      <c r="M37" s="367">
        <v>0</v>
      </c>
    </row>
    <row r="38" spans="1:13" x14ac:dyDescent="0.35">
      <c r="A38">
        <v>20</v>
      </c>
      <c r="B38" t="s">
        <v>199</v>
      </c>
      <c r="C38" s="369">
        <f t="shared" si="31"/>
        <v>652197.48074267874</v>
      </c>
      <c r="D38" s="437">
        <f t="shared" si="32"/>
        <v>744953.91201664403</v>
      </c>
      <c r="E38" s="437">
        <f t="shared" si="33"/>
        <v>0</v>
      </c>
      <c r="F38" s="437">
        <f t="shared" si="34"/>
        <v>347832.20284424</v>
      </c>
      <c r="G38" s="438">
        <f t="shared" si="35"/>
        <v>1744983.5956035627</v>
      </c>
      <c r="H38" s="366">
        <v>650889.39760471601</v>
      </c>
      <c r="I38" s="4">
        <v>0</v>
      </c>
      <c r="J38" s="4">
        <v>744953.91201664403</v>
      </c>
      <c r="K38" s="4">
        <v>1308.08313796274</v>
      </c>
      <c r="L38" s="4">
        <v>347832.20284424</v>
      </c>
      <c r="M38" s="367">
        <v>0</v>
      </c>
    </row>
    <row r="39" spans="1:13" x14ac:dyDescent="0.35">
      <c r="A39">
        <v>21</v>
      </c>
      <c r="B39" t="s">
        <v>200</v>
      </c>
      <c r="C39" s="369">
        <f t="shared" si="31"/>
        <v>-898485.14716465306</v>
      </c>
      <c r="D39" s="437">
        <f t="shared" si="32"/>
        <v>-226054.120764769</v>
      </c>
      <c r="E39" s="437">
        <f t="shared" si="33"/>
        <v>0</v>
      </c>
      <c r="F39" s="437">
        <f t="shared" si="34"/>
        <v>0</v>
      </c>
      <c r="G39" s="438">
        <f t="shared" si="35"/>
        <v>-1124539.267929422</v>
      </c>
      <c r="H39" s="366">
        <v>-898485.14716465306</v>
      </c>
      <c r="I39" s="4">
        <v>0</v>
      </c>
      <c r="J39" s="4">
        <v>-226054.120764769</v>
      </c>
      <c r="K39" s="4">
        <v>0</v>
      </c>
      <c r="L39" s="4">
        <v>0</v>
      </c>
      <c r="M39" s="367">
        <v>0</v>
      </c>
    </row>
    <row r="40" spans="1:13" x14ac:dyDescent="0.35">
      <c r="A40">
        <v>22</v>
      </c>
      <c r="B40" t="s">
        <v>201</v>
      </c>
      <c r="C40" s="369">
        <f t="shared" si="31"/>
        <v>-282462.5346209553</v>
      </c>
      <c r="D40" s="437">
        <f t="shared" si="32"/>
        <v>-97125.229753235602</v>
      </c>
      <c r="E40" s="437">
        <f t="shared" si="33"/>
        <v>0</v>
      </c>
      <c r="F40" s="437">
        <f t="shared" si="34"/>
        <v>1808.6323599960101</v>
      </c>
      <c r="G40" s="438">
        <f t="shared" si="35"/>
        <v>-377779.13201419485</v>
      </c>
      <c r="H40" s="366">
        <v>-282504.58601559902</v>
      </c>
      <c r="I40" s="4">
        <v>0</v>
      </c>
      <c r="J40" s="4">
        <v>-97125.229753235602</v>
      </c>
      <c r="K40" s="4">
        <v>42.051394643725303</v>
      </c>
      <c r="L40" s="4">
        <v>1808.6323599960101</v>
      </c>
      <c r="M40" s="367">
        <v>0</v>
      </c>
    </row>
    <row r="41" spans="1:13" x14ac:dyDescent="0.35">
      <c r="A41">
        <v>23</v>
      </c>
      <c r="B41" t="s">
        <v>202</v>
      </c>
      <c r="C41" s="369">
        <f t="shared" si="31"/>
        <v>862399.84243803995</v>
      </c>
      <c r="D41" s="437">
        <f t="shared" si="32"/>
        <v>561002.35310783703</v>
      </c>
      <c r="E41" s="437">
        <f t="shared" si="33"/>
        <v>0</v>
      </c>
      <c r="F41" s="437">
        <f t="shared" si="34"/>
        <v>254650.38235319901</v>
      </c>
      <c r="G41" s="438">
        <f t="shared" si="35"/>
        <v>1678052.5778990758</v>
      </c>
      <c r="H41" s="366">
        <v>856583.70886726095</v>
      </c>
      <c r="I41" s="4">
        <v>0</v>
      </c>
      <c r="J41" s="4">
        <v>561002.35310783703</v>
      </c>
      <c r="K41" s="4">
        <v>5816.1335707789904</v>
      </c>
      <c r="L41" s="4">
        <v>254650.38235319901</v>
      </c>
      <c r="M41" s="367">
        <v>0</v>
      </c>
    </row>
    <row r="42" spans="1:13" x14ac:dyDescent="0.35">
      <c r="A42">
        <v>24</v>
      </c>
      <c r="B42" t="s">
        <v>220</v>
      </c>
      <c r="C42" s="369">
        <f t="shared" si="31"/>
        <v>720548.07071649889</v>
      </c>
      <c r="D42" s="437">
        <f t="shared" si="32"/>
        <v>375642.68021511199</v>
      </c>
      <c r="E42" s="437">
        <f t="shared" si="33"/>
        <v>0</v>
      </c>
      <c r="F42" s="437">
        <f t="shared" si="34"/>
        <v>209394.809153551</v>
      </c>
      <c r="G42" s="438">
        <f t="shared" si="35"/>
        <v>1305585.5600851618</v>
      </c>
      <c r="H42" s="366">
        <v>713586.820716633</v>
      </c>
      <c r="I42" s="4">
        <v>0</v>
      </c>
      <c r="J42" s="4">
        <v>375642.68021511199</v>
      </c>
      <c r="K42" s="4">
        <v>6961.2499998659096</v>
      </c>
      <c r="L42" s="4">
        <v>209394.809153551</v>
      </c>
      <c r="M42" s="367">
        <v>0</v>
      </c>
    </row>
    <row r="43" spans="1:13" x14ac:dyDescent="0.35">
      <c r="A43">
        <v>25</v>
      </c>
      <c r="B43" t="s">
        <v>221</v>
      </c>
      <c r="C43" s="288"/>
      <c r="E43" s="437"/>
      <c r="G43" s="287"/>
      <c r="H43" s="366"/>
      <c r="M43" s="367"/>
    </row>
    <row r="44" spans="1:13" x14ac:dyDescent="0.35">
      <c r="B44" s="289" t="s">
        <v>222</v>
      </c>
      <c r="C44" s="439">
        <f>SUM(C34:C43)</f>
        <v>14617642.936005581</v>
      </c>
      <c r="D44" s="439">
        <f t="shared" ref="D44:F44" si="36">SUM(D34:D43)</f>
        <v>8126319.2871071994</v>
      </c>
      <c r="E44" s="439">
        <f t="shared" si="36"/>
        <v>0</v>
      </c>
      <c r="F44" s="439">
        <f t="shared" si="36"/>
        <v>4653750.0069377562</v>
      </c>
      <c r="G44" s="368">
        <f t="shared" si="35"/>
        <v>27397712.230050538</v>
      </c>
      <c r="H44" s="439">
        <f>SUM(H34:H43)</f>
        <v>14508926.639990257</v>
      </c>
      <c r="I44" s="439">
        <f t="shared" ref="I44:M44" si="37">SUM(I34:I43)</f>
        <v>0</v>
      </c>
      <c r="J44" s="439">
        <f t="shared" si="37"/>
        <v>8126319.2871071994</v>
      </c>
      <c r="K44" s="439">
        <f t="shared" si="37"/>
        <v>108716.29601532425</v>
      </c>
      <c r="L44" s="439">
        <f t="shared" si="37"/>
        <v>4653750.0069377562</v>
      </c>
      <c r="M44" s="439">
        <f t="shared" si="37"/>
        <v>0</v>
      </c>
    </row>
    <row r="45" spans="1:13" x14ac:dyDescent="0.35">
      <c r="A45">
        <v>26</v>
      </c>
      <c r="B45" t="s">
        <v>204</v>
      </c>
      <c r="C45" s="369">
        <f t="shared" ref="C45:C46" si="38">SUM(H45,K45)</f>
        <v>3539264.7469773497</v>
      </c>
      <c r="D45" s="437">
        <f t="shared" ref="D45:D47" si="39">SUM(I45,J45)</f>
        <v>3769886.8480523201</v>
      </c>
      <c r="E45" s="437">
        <f t="shared" si="33"/>
        <v>156798.84122594999</v>
      </c>
      <c r="F45" s="437">
        <f t="shared" ref="F45:F47" si="40">L45</f>
        <v>496107.19</v>
      </c>
      <c r="G45" s="438">
        <f t="shared" si="35"/>
        <v>7962057.6262556203</v>
      </c>
      <c r="H45" s="366">
        <v>2089271.0845550101</v>
      </c>
      <c r="I45" s="4">
        <v>1454790.82744243</v>
      </c>
      <c r="J45" s="4">
        <v>2315096.0206098901</v>
      </c>
      <c r="K45" s="4">
        <v>1449993.6624223399</v>
      </c>
      <c r="L45" s="4">
        <v>496107.19</v>
      </c>
      <c r="M45" s="367">
        <v>156798.84122594999</v>
      </c>
    </row>
    <row r="46" spans="1:13" x14ac:dyDescent="0.35">
      <c r="A46">
        <v>27</v>
      </c>
      <c r="B46" t="s">
        <v>205</v>
      </c>
      <c r="C46" s="369">
        <f t="shared" si="38"/>
        <v>1318036.0664976579</v>
      </c>
      <c r="D46" s="437">
        <f t="shared" si="39"/>
        <v>2455480.08</v>
      </c>
      <c r="E46" s="437">
        <f t="shared" si="33"/>
        <v>0</v>
      </c>
      <c r="F46" s="437">
        <f t="shared" si="40"/>
        <v>254445.81</v>
      </c>
      <c r="G46" s="438">
        <f t="shared" si="35"/>
        <v>4027961.956497658</v>
      </c>
      <c r="H46" s="366">
        <v>1225016.5375000001</v>
      </c>
      <c r="I46" s="4">
        <v>0</v>
      </c>
      <c r="J46" s="4">
        <v>2455480.08</v>
      </c>
      <c r="K46" s="4">
        <v>93019.528997657704</v>
      </c>
      <c r="L46" s="4">
        <v>254445.81</v>
      </c>
      <c r="M46" s="367">
        <v>0</v>
      </c>
    </row>
    <row r="47" spans="1:13" x14ac:dyDescent="0.35">
      <c r="A47">
        <v>28</v>
      </c>
      <c r="B47" s="286" t="s">
        <v>206</v>
      </c>
      <c r="C47" s="446">
        <f t="shared" ref="C47" si="41">SUM(H47,K47,L47)</f>
        <v>0</v>
      </c>
      <c r="D47" s="437">
        <f t="shared" si="39"/>
        <v>0</v>
      </c>
      <c r="E47" s="437">
        <f t="shared" si="33"/>
        <v>0</v>
      </c>
      <c r="F47" s="437">
        <f t="shared" si="40"/>
        <v>0</v>
      </c>
      <c r="G47" s="438">
        <f t="shared" si="35"/>
        <v>0</v>
      </c>
      <c r="H47" s="447">
        <v>0</v>
      </c>
      <c r="I47" s="448">
        <v>0</v>
      </c>
      <c r="J47" s="448">
        <v>0</v>
      </c>
      <c r="K47" s="448">
        <v>0</v>
      </c>
      <c r="L47" s="448">
        <v>0</v>
      </c>
      <c r="M47" s="449">
        <v>0</v>
      </c>
    </row>
    <row r="48" spans="1:13" x14ac:dyDescent="0.35">
      <c r="B48" s="285" t="s">
        <v>223</v>
      </c>
      <c r="C48" s="450">
        <f>SUM(C45:C47)</f>
        <v>4857300.8134750072</v>
      </c>
      <c r="D48" s="451">
        <f t="shared" ref="D48:F48" si="42">SUM(D45:D47)</f>
        <v>6225366.9280523201</v>
      </c>
      <c r="E48" s="451">
        <f t="shared" si="42"/>
        <v>156798.84122594999</v>
      </c>
      <c r="F48" s="451">
        <f t="shared" si="42"/>
        <v>750553</v>
      </c>
      <c r="G48" s="452">
        <f t="shared" si="35"/>
        <v>11990019.582753276</v>
      </c>
      <c r="H48" s="450">
        <f>SUM(H45:H47)</f>
        <v>3314287.6220550099</v>
      </c>
      <c r="I48" s="450">
        <f t="shared" ref="I48:M48" si="43">SUM(I45:I47)</f>
        <v>1454790.82744243</v>
      </c>
      <c r="J48" s="450">
        <f t="shared" si="43"/>
        <v>4770576.1006098902</v>
      </c>
      <c r="K48" s="450">
        <f t="shared" si="43"/>
        <v>1543013.1914199977</v>
      </c>
      <c r="L48" s="450">
        <f t="shared" si="43"/>
        <v>750553</v>
      </c>
      <c r="M48" s="453">
        <f t="shared" si="43"/>
        <v>156798.84122594999</v>
      </c>
    </row>
    <row r="49" spans="2:13" ht="15" thickBot="1" x14ac:dyDescent="0.4">
      <c r="B49" s="284" t="s">
        <v>224</v>
      </c>
      <c r="C49" s="454">
        <f>IFERROR(C44/C48,0)</f>
        <v>3.0094168546147415</v>
      </c>
      <c r="D49" s="454">
        <f t="shared" ref="D49:F49" si="44">IFERROR(D44/D48,0)</f>
        <v>1.3053558739628566</v>
      </c>
      <c r="E49" s="454">
        <f t="shared" si="44"/>
        <v>0</v>
      </c>
      <c r="F49" s="454">
        <f t="shared" si="44"/>
        <v>6.2004282268377535</v>
      </c>
      <c r="G49" s="454">
        <f t="shared" ref="G49" si="45">G44/G48</f>
        <v>2.285043159517441</v>
      </c>
      <c r="H49" s="454">
        <f>H44/H48</f>
        <v>4.3776908628690645</v>
      </c>
      <c r="I49" s="454">
        <f t="shared" ref="I49:M49" si="46">I44/I48</f>
        <v>0</v>
      </c>
      <c r="J49" s="454">
        <f t="shared" si="46"/>
        <v>1.7034251452499201</v>
      </c>
      <c r="K49" s="454">
        <f t="shared" si="46"/>
        <v>7.0457139718472062E-2</v>
      </c>
      <c r="L49" s="454">
        <f t="shared" si="46"/>
        <v>6.2004282268377535</v>
      </c>
      <c r="M49" s="455">
        <f t="shared" si="46"/>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workbookViewId="0">
      <selection activeCell="J22" sqref="J22"/>
    </sheetView>
  </sheetViews>
  <sheetFormatPr defaultRowHeight="14.5" x14ac:dyDescent="0.35"/>
  <sheetData>
    <row r="2" spans="2:2" x14ac:dyDescent="0.35">
      <c r="B2" s="337" t="s">
        <v>38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4.5" x14ac:dyDescent="0.35"/>
  <cols>
    <col min="1" max="1" width="51.81640625" bestFit="1" customWidth="1"/>
    <col min="3" max="3" width="7.453125" bestFit="1" customWidth="1"/>
  </cols>
  <sheetData>
    <row r="1" spans="1:1" x14ac:dyDescent="0.35">
      <c r="A1" s="215" t="s">
        <v>40</v>
      </c>
    </row>
    <row r="2" spans="1:1" x14ac:dyDescent="0.35">
      <c r="A2" s="13" t="s">
        <v>1</v>
      </c>
    </row>
    <row r="3" spans="1:1" x14ac:dyDescent="0.35">
      <c r="A3" s="13" t="s">
        <v>46</v>
      </c>
    </row>
    <row r="4" spans="1:1" x14ac:dyDescent="0.35">
      <c r="A4" s="13" t="s">
        <v>23</v>
      </c>
    </row>
    <row r="5" spans="1:1" x14ac:dyDescent="0.35">
      <c r="A5" s="13" t="s">
        <v>225</v>
      </c>
    </row>
    <row r="7" spans="1:1" x14ac:dyDescent="0.35">
      <c r="A7" s="215" t="s">
        <v>41</v>
      </c>
    </row>
    <row r="8" spans="1:1" x14ac:dyDescent="0.35">
      <c r="A8" s="13" t="s">
        <v>24</v>
      </c>
    </row>
    <row r="9" spans="1:1" x14ac:dyDescent="0.35">
      <c r="A9" s="13" t="s">
        <v>18</v>
      </c>
    </row>
    <row r="10" spans="1:1" x14ac:dyDescent="0.35">
      <c r="A10" s="13" t="s">
        <v>23</v>
      </c>
    </row>
    <row r="12" spans="1:1" x14ac:dyDescent="0.35">
      <c r="A12" s="215" t="s">
        <v>42</v>
      </c>
    </row>
    <row r="13" spans="1:1" x14ac:dyDescent="0.35">
      <c r="A13" s="13" t="s">
        <v>45</v>
      </c>
    </row>
    <row r="14" spans="1:1" x14ac:dyDescent="0.35">
      <c r="A14" s="13" t="s">
        <v>20</v>
      </c>
    </row>
    <row r="15" spans="1:1" x14ac:dyDescent="0.35">
      <c r="A15" s="13" t="s">
        <v>18</v>
      </c>
    </row>
    <row r="17" spans="1:1" x14ac:dyDescent="0.35">
      <c r="A17" s="215" t="s">
        <v>226</v>
      </c>
    </row>
    <row r="18" spans="1:1" x14ac:dyDescent="0.35">
      <c r="A18" s="216" t="s">
        <v>44</v>
      </c>
    </row>
    <row r="19" spans="1:1" x14ac:dyDescent="0.35">
      <c r="A19" s="216" t="s">
        <v>227</v>
      </c>
    </row>
    <row r="20" spans="1:1" x14ac:dyDescent="0.35">
      <c r="A20" s="216" t="s">
        <v>228</v>
      </c>
    </row>
    <row r="21" spans="1:1" x14ac:dyDescent="0.35">
      <c r="A21" s="216" t="s">
        <v>229</v>
      </c>
    </row>
    <row r="22" spans="1:1" x14ac:dyDescent="0.35">
      <c r="A22" s="216" t="s">
        <v>230</v>
      </c>
    </row>
    <row r="23" spans="1:1" x14ac:dyDescent="0.35">
      <c r="A23" s="216" t="s">
        <v>231</v>
      </c>
    </row>
    <row r="24" spans="1:1" x14ac:dyDescent="0.35">
      <c r="A24" s="216" t="s">
        <v>232</v>
      </c>
    </row>
    <row r="27" spans="1:1" x14ac:dyDescent="0.35">
      <c r="A27" s="217" t="s">
        <v>233</v>
      </c>
    </row>
    <row r="28" spans="1:1" x14ac:dyDescent="0.35">
      <c r="A28" s="218" t="s">
        <v>234</v>
      </c>
    </row>
    <row r="29" spans="1:1" x14ac:dyDescent="0.35">
      <c r="A29" s="218" t="s">
        <v>235</v>
      </c>
    </row>
    <row r="30" spans="1:1" x14ac:dyDescent="0.35">
      <c r="A30" s="218" t="s">
        <v>236</v>
      </c>
    </row>
    <row r="31" spans="1:1" x14ac:dyDescent="0.35">
      <c r="A31" s="218" t="s">
        <v>237</v>
      </c>
    </row>
    <row r="32" spans="1:1" x14ac:dyDescent="0.35">
      <c r="A32" s="218" t="s">
        <v>238</v>
      </c>
    </row>
    <row r="33" spans="1:1" x14ac:dyDescent="0.35">
      <c r="A33" s="218" t="s">
        <v>239</v>
      </c>
    </row>
    <row r="34" spans="1:1" x14ac:dyDescent="0.35">
      <c r="A34" s="218" t="s">
        <v>39</v>
      </c>
    </row>
    <row r="35" spans="1:1" x14ac:dyDescent="0.35">
      <c r="A35" s="218" t="s">
        <v>240</v>
      </c>
    </row>
    <row r="36" spans="1:1" x14ac:dyDescent="0.35">
      <c r="A36" s="218" t="s">
        <v>241</v>
      </c>
    </row>
    <row r="37" spans="1:1" x14ac:dyDescent="0.35">
      <c r="A37" s="218" t="s">
        <v>242</v>
      </c>
    </row>
    <row r="38" spans="1:1" x14ac:dyDescent="0.35">
      <c r="A38" s="218" t="s">
        <v>243</v>
      </c>
    </row>
    <row r="39" spans="1:1" x14ac:dyDescent="0.35">
      <c r="A39" s="218" t="s">
        <v>244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291332-5843-45d8-bfc3-9844fb3e26da">
      <UserInfo>
        <DisplayName>Zerbe, Christopher</DisplayName>
        <AccountId>163</AccountId>
        <AccountType/>
      </UserInfo>
    </SharedWithUsers>
    <_activity xmlns="39c968e2-ee87-41b9-8fa8-4cd604c6e8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7" ma:contentTypeDescription="Create a new document." ma:contentTypeScope="" ma:versionID="37692c91396d8d113eae391a5c555e9e">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e8f5c7e522be4ab492443c1d9445cd22"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purl.org/dc/elements/1.1/"/>
    <ds:schemaRef ds:uri="http://schemas.openxmlformats.org/package/2006/metadata/core-properties"/>
    <ds:schemaRef ds:uri="http://purl.org/dc/dcmitype/"/>
    <ds:schemaRef ds:uri="39c968e2-ee87-41b9-8fa8-4cd604c6e882"/>
    <ds:schemaRef ds:uri="http://schemas.microsoft.com/office/2006/documentManagement/types"/>
    <ds:schemaRef ds:uri="http://schemas.microsoft.com/office/infopath/2007/PartnerControls"/>
    <ds:schemaRef ds:uri="http://schemas.microsoft.com/office/2006/metadata/properties"/>
    <ds:schemaRef ds:uri="ba291332-5843-45d8-bfc3-9844fb3e26da"/>
    <ds:schemaRef ds:uri="http://www.w3.org/XML/1998/namespace"/>
    <ds:schemaRef ds:uri="http://purl.org/dc/terms/"/>
  </ds:schemaRefs>
</ds:datastoreItem>
</file>

<file path=customXml/itemProps3.xml><?xml version="1.0" encoding="utf-8"?>
<ds:datastoreItem xmlns:ds="http://schemas.openxmlformats.org/officeDocument/2006/customXml" ds:itemID="{4173E510-2A91-479C-9764-5F73A682D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Table 8</vt:lpstr>
      <vt:lpstr>Ap B - Qtr Electric Master (2)</vt:lpstr>
      <vt:lpstr>Qtr Electric Master</vt:lpstr>
      <vt:lpstr>Qtr Electric LMI</vt:lpstr>
      <vt:lpstr>Qtr Electric Business Class</vt:lpstr>
      <vt:lpstr>AP F - Secondary Metrics</vt:lpstr>
      <vt:lpstr>AP G - Transfer</vt:lpstr>
      <vt:lpstr>AP H - CostTest</vt:lpstr>
      <vt:lpstr>AP I - Program Changes</vt:lpstr>
      <vt:lpstr>Lookup_Sheet</vt:lpstr>
      <vt:lpstr>'Ap B - Qtr Electric Master (2)'!Print_Area</vt:lpstr>
      <vt:lpstr>'Qtr Electric Business Class'!Print_Area</vt:lpstr>
      <vt:lpstr>'Qtr Electric LMI'!Print_Area</vt:lpstr>
      <vt:lpstr>'Qtr Electric Master'!Print_Area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cp:lastModifiedBy>
  <cp:revision/>
  <dcterms:created xsi:type="dcterms:W3CDTF">2021-03-17T19:24:16Z</dcterms:created>
  <dcterms:modified xsi:type="dcterms:W3CDTF">2023-08-18T13:25:20Z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y fmtid="{D5CDD505-2E9C-101B-9397-08002B2CF9AE}" pid="3" name="SV_QUERY_LIST_4F35BF76-6C0D-4D9B-82B2-816C12CF3733">
    <vt:lpwstr>empty_477D106A-C0D6-4607-AEBD-E2C9D60EA279</vt:lpwstr>
  </property>
  <property fmtid="{D5CDD505-2E9C-101B-9397-08002B2CF9AE}" pid="4" name="MSIP_Label_c968b3d1-e05f-4796-9c23-acaf26d588cb_Enabled">
    <vt:lpwstr>true</vt:lpwstr>
  </property>
  <property fmtid="{D5CDD505-2E9C-101B-9397-08002B2CF9AE}" pid="5" name="MSIP_Label_c968b3d1-e05f-4796-9c23-acaf26d588cb_SetDate">
    <vt:lpwstr>2022-01-25T14:13:43Z</vt:lpwstr>
  </property>
  <property fmtid="{D5CDD505-2E9C-101B-9397-08002B2CF9AE}" pid="6" name="MSIP_Label_c968b3d1-e05f-4796-9c23-acaf26d588cb_Method">
    <vt:lpwstr>Standard</vt:lpwstr>
  </property>
  <property fmtid="{D5CDD505-2E9C-101B-9397-08002B2CF9AE}" pid="7" name="MSIP_Label_c968b3d1-e05f-4796-9c23-acaf26d588cb_Name">
    <vt:lpwstr>Company Confidential Information</vt:lpwstr>
  </property>
  <property fmtid="{D5CDD505-2E9C-101B-9397-08002B2CF9AE}" pid="8" name="MSIP_Label_c968b3d1-e05f-4796-9c23-acaf26d588cb_SiteId">
    <vt:lpwstr>600d01fc-055f-49c6-868f-3ecfcc791773</vt:lpwstr>
  </property>
  <property fmtid="{D5CDD505-2E9C-101B-9397-08002B2CF9AE}" pid="9" name="MSIP_Label_c968b3d1-e05f-4796-9c23-acaf26d588cb_ActionId">
    <vt:lpwstr>a86b1542-9f49-4e02-9f21-8be907b69305</vt:lpwstr>
  </property>
  <property fmtid="{D5CDD505-2E9C-101B-9397-08002B2CF9AE}" pid="10" name="MSIP_Label_c968b3d1-e05f-4796-9c23-acaf26d588cb_ContentBits">
    <vt:lpwstr>0</vt:lpwstr>
  </property>
  <property fmtid="{D5CDD505-2E9C-101B-9397-08002B2CF9AE}" pid="11" name="MediaServiceImageTags">
    <vt:lpwstr/>
  </property>
</Properties>
</file>