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3 2023/Final Versions/"/>
    </mc:Choice>
  </mc:AlternateContent>
  <bookViews>
    <workbookView xWindow="0" yWindow="0" windowWidth="19200" windowHeight="7050" firstSheet="1" activeTab="1"/>
  </bookViews>
  <sheets>
    <sheet name="Table 8" sheetId="38" state="hidden" r:id="rId1"/>
    <sheet name="Qtr Electric Master" sheetId="27" r:id="rId2"/>
    <sheet name="Qtr Electric LMI" sheetId="29" r:id="rId3"/>
    <sheet name="Qtr Electric Business" sheetId="30" r:id="rId4"/>
    <sheet name="AP F - Secondary Metrics" sheetId="41" state="hidden" r:id="rId5"/>
    <sheet name="AP G - Transfer" sheetId="42" state="hidden" r:id="rId6"/>
    <sheet name="AP H - CostTest" sheetId="47" state="hidden" r:id="rId7"/>
    <sheet name="AP I - Program Changes" sheetId="44" state="hidden" r:id="rId8"/>
    <sheet name="Lookup_Sheet" sheetId="32" state="hidden" r:id="rId9"/>
  </sheets>
  <externalReferences>
    <externalReference r:id="rId10"/>
  </externalReferences>
  <definedNames>
    <definedName name="wrn.CFC._.QUARTER." localSheetId="6"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6" hidden="1">{"COVER",#N/A,FALSE,"COVERPMT";"COMPANY ORDER",#N/A,FALSE,"COVERPMT";"EXHIBIT A",#N/A,FALSE,"COVERPMT"}</definedName>
    <definedName name="wrn.FUEL._.SCHEDULE." localSheetId="8" hidden="1">{"COVER",#N/A,FALSE,"COVERPMT";"COMPANY ORDER",#N/A,FALSE,"COVERPMT";"EXHIBIT A",#N/A,FALSE,"COVERPMT"}</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1"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3" hidden="1">'Qtr Electric Business'!#REF!</definedName>
    <definedName name="Z_E3A30FBC_675D_4AD8_9B2D_12956792A138_.wvu.Rows" localSheetId="2" hidden="1">'Qtr Electric LMI'!#REF!</definedName>
    <definedName name="Z_E3A30FBC_675D_4AD8_9B2D_12956792A138_.wvu.Rows" localSheetId="1" hidden="1">'Qtr Electric Master'!#REF!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0" i="27" l="1"/>
  <c r="U14" i="27"/>
  <c r="U15" i="27"/>
  <c r="U21" i="27"/>
  <c r="U24" i="27"/>
  <c r="U8" i="27"/>
  <c r="H8" i="29"/>
  <c r="G9" i="30" l="1"/>
  <c r="F9" i="30"/>
  <c r="F8" i="30"/>
  <c r="H10" i="29"/>
  <c r="I10" i="29" s="1"/>
  <c r="G15" i="29"/>
  <c r="F15" i="29"/>
  <c r="G10" i="29"/>
  <c r="F10" i="29"/>
  <c r="G8" i="29"/>
  <c r="F8" i="29"/>
  <c r="E10" i="29"/>
  <c r="E8" i="29"/>
  <c r="M26" i="27"/>
  <c r="J26" i="27"/>
  <c r="H26" i="27"/>
  <c r="F26" i="27"/>
  <c r="E26" i="27"/>
  <c r="D26" i="27"/>
  <c r="K20" i="27"/>
  <c r="F20" i="27"/>
  <c r="D8" i="27"/>
  <c r="P8" i="27"/>
  <c r="F8" i="27"/>
  <c r="H8" i="30" l="1"/>
  <c r="D8" i="30"/>
  <c r="D9" i="30"/>
  <c r="E9" i="30"/>
  <c r="I16" i="29" l="1"/>
  <c r="E16" i="29"/>
  <c r="E15" i="29"/>
  <c r="I8" i="29"/>
  <c r="D19" i="29" l="1"/>
  <c r="H19" i="29" l="1"/>
  <c r="P21" i="27" l="1"/>
  <c r="P20" i="27"/>
  <c r="P18" i="27"/>
  <c r="P14" i="27"/>
  <c r="P10" i="27"/>
  <c r="P9" i="27"/>
  <c r="P24" i="27"/>
  <c r="G24" i="27"/>
  <c r="N12" i="38"/>
  <c r="M12" i="38"/>
  <c r="L12" i="38"/>
  <c r="K12" i="38"/>
  <c r="J12" i="38"/>
  <c r="I12" i="38"/>
  <c r="N11" i="38"/>
  <c r="M11" i="38"/>
  <c r="L11" i="38"/>
  <c r="K11" i="38"/>
  <c r="J11" i="38"/>
  <c r="I11" i="38"/>
  <c r="N10" i="38"/>
  <c r="M10" i="38"/>
  <c r="L10" i="38"/>
  <c r="K10" i="38"/>
  <c r="J10" i="38"/>
  <c r="I10" i="38"/>
  <c r="N9" i="38"/>
  <c r="M9" i="38"/>
  <c r="L9" i="38"/>
  <c r="K9" i="38"/>
  <c r="J9" i="38"/>
  <c r="I9" i="38"/>
  <c r="N8" i="38"/>
  <c r="M8" i="38"/>
  <c r="L8" i="38"/>
  <c r="K8" i="38"/>
  <c r="J8" i="38"/>
  <c r="I8" i="38"/>
  <c r="N7" i="38"/>
  <c r="M7" i="38"/>
  <c r="L7" i="38"/>
  <c r="K7" i="38"/>
  <c r="J7" i="38"/>
  <c r="I7" i="38"/>
  <c r="N6" i="38"/>
  <c r="M6" i="38"/>
  <c r="L6" i="38"/>
  <c r="K6" i="38"/>
  <c r="J6" i="38"/>
  <c r="I6" i="38"/>
  <c r="N5" i="38"/>
  <c r="M5" i="38"/>
  <c r="L5" i="38"/>
  <c r="K5" i="38"/>
  <c r="J5" i="38"/>
  <c r="I5" i="38"/>
  <c r="E48" i="47"/>
  <c r="N47" i="47"/>
  <c r="G47" i="47"/>
  <c r="P48" i="47"/>
  <c r="O48" i="47"/>
  <c r="M48" i="47"/>
  <c r="L48" i="47"/>
  <c r="K48" i="47"/>
  <c r="J48" i="47"/>
  <c r="I48" i="47"/>
  <c r="I49" i="47" s="1"/>
  <c r="F48" i="47"/>
  <c r="D48" i="47"/>
  <c r="C48" i="47"/>
  <c r="N45" i="47"/>
  <c r="G45" i="47"/>
  <c r="P44" i="47"/>
  <c r="O44" i="47"/>
  <c r="M44" i="47"/>
  <c r="L44" i="47"/>
  <c r="K44" i="47"/>
  <c r="J44" i="47"/>
  <c r="I44" i="47"/>
  <c r="F44" i="47"/>
  <c r="E44" i="47"/>
  <c r="E49" i="47" s="1"/>
  <c r="D44" i="47"/>
  <c r="C44" i="47"/>
  <c r="N43" i="47"/>
  <c r="G43" i="47"/>
  <c r="N42" i="47"/>
  <c r="G42" i="47"/>
  <c r="N41" i="47"/>
  <c r="G41" i="47"/>
  <c r="N40" i="47"/>
  <c r="G40" i="47"/>
  <c r="N39" i="47"/>
  <c r="G39" i="47"/>
  <c r="N38" i="47"/>
  <c r="G38" i="47"/>
  <c r="N37" i="47"/>
  <c r="G37" i="47"/>
  <c r="N36" i="47"/>
  <c r="G36" i="47"/>
  <c r="N35" i="47"/>
  <c r="G35" i="47"/>
  <c r="N34" i="47"/>
  <c r="N44" i="47" s="1"/>
  <c r="G34" i="47"/>
  <c r="G44" i="47" s="1"/>
  <c r="D31" i="47"/>
  <c r="N30" i="47"/>
  <c r="G30" i="47"/>
  <c r="N29" i="47"/>
  <c r="G29" i="47"/>
  <c r="E26" i="47"/>
  <c r="P23" i="47"/>
  <c r="O23" i="47"/>
  <c r="M23" i="47"/>
  <c r="L23" i="47"/>
  <c r="K23" i="47"/>
  <c r="J23" i="47"/>
  <c r="I23" i="47"/>
  <c r="F23" i="47"/>
  <c r="E23" i="47"/>
  <c r="D23" i="47"/>
  <c r="C23" i="47"/>
  <c r="N22" i="47"/>
  <c r="N23" i="47" s="1"/>
  <c r="G22" i="47"/>
  <c r="N21" i="47"/>
  <c r="G21" i="47"/>
  <c r="G23" i="47" s="1"/>
  <c r="L17" i="47"/>
  <c r="I17" i="47"/>
  <c r="C17" i="47"/>
  <c r="N16" i="47"/>
  <c r="G16" i="47"/>
  <c r="P15" i="47"/>
  <c r="P17" i="47" s="1"/>
  <c r="O15" i="47"/>
  <c r="O17" i="47" s="1"/>
  <c r="L15" i="47"/>
  <c r="K15" i="47"/>
  <c r="K17" i="47" s="1"/>
  <c r="J15" i="47"/>
  <c r="J17" i="47" s="1"/>
  <c r="I15" i="47"/>
  <c r="G15" i="47"/>
  <c r="G17" i="47" s="1"/>
  <c r="F17" i="47"/>
  <c r="E17" i="47"/>
  <c r="D17" i="47"/>
  <c r="N14" i="47"/>
  <c r="G14" i="47"/>
  <c r="O13" i="47"/>
  <c r="O18" i="47" s="1"/>
  <c r="M13" i="47"/>
  <c r="J13" i="47"/>
  <c r="F13" i="47"/>
  <c r="F18" i="47" s="1"/>
  <c r="E13" i="47"/>
  <c r="D13" i="47"/>
  <c r="D18" i="47" s="1"/>
  <c r="N12" i="47"/>
  <c r="G12" i="47"/>
  <c r="N11" i="47"/>
  <c r="G11" i="47"/>
  <c r="N10" i="47"/>
  <c r="G10" i="47"/>
  <c r="N9" i="47"/>
  <c r="G9" i="47"/>
  <c r="P8" i="47"/>
  <c r="P31" i="47" s="1"/>
  <c r="O8" i="47"/>
  <c r="O31" i="47" s="1"/>
  <c r="M8" i="47"/>
  <c r="L8" i="47"/>
  <c r="K8" i="47"/>
  <c r="K31" i="47" s="1"/>
  <c r="J8" i="47"/>
  <c r="J31" i="47" s="1"/>
  <c r="I8" i="47"/>
  <c r="I31" i="47" s="1"/>
  <c r="F8" i="47"/>
  <c r="F31" i="47" s="1"/>
  <c r="E8" i="47"/>
  <c r="E31" i="47" s="1"/>
  <c r="D8" i="47"/>
  <c r="D26" i="47" s="1"/>
  <c r="C8" i="47"/>
  <c r="C31" i="47" s="1"/>
  <c r="N7" i="47"/>
  <c r="G7" i="47"/>
  <c r="N6" i="47"/>
  <c r="G6" i="47"/>
  <c r="N5" i="47"/>
  <c r="G5" i="47"/>
  <c r="O24" i="27" l="1"/>
  <c r="L31" i="47"/>
  <c r="J49" i="47"/>
  <c r="F49" i="47"/>
  <c r="E18" i="47"/>
  <c r="K49" i="47"/>
  <c r="G31" i="47"/>
  <c r="N13" i="47"/>
  <c r="C49" i="47"/>
  <c r="M49" i="47"/>
  <c r="L49" i="47"/>
  <c r="D49" i="47"/>
  <c r="O49" i="47"/>
  <c r="J18" i="47"/>
  <c r="P49" i="47"/>
  <c r="P13" i="47"/>
  <c r="P18" i="47" s="1"/>
  <c r="F26" i="47"/>
  <c r="O26" i="47"/>
  <c r="N8" i="47"/>
  <c r="I13" i="47"/>
  <c r="I18" i="47" s="1"/>
  <c r="P26" i="47"/>
  <c r="I26" i="47"/>
  <c r="G46" i="47"/>
  <c r="G48" i="47" s="1"/>
  <c r="G49" i="47" s="1"/>
  <c r="G8" i="47"/>
  <c r="G26" i="47" s="1"/>
  <c r="K13" i="47"/>
  <c r="K18" i="47" s="1"/>
  <c r="J26" i="47"/>
  <c r="C13" i="47"/>
  <c r="C18" i="47" s="1"/>
  <c r="L13" i="47"/>
  <c r="L18" i="47" s="1"/>
  <c r="M15" i="47"/>
  <c r="K26" i="47"/>
  <c r="C26" i="47"/>
  <c r="L26" i="47"/>
  <c r="N15" i="47" l="1"/>
  <c r="N26" i="47" s="1"/>
  <c r="N48" i="47"/>
  <c r="N49" i="47" s="1"/>
  <c r="N31" i="47"/>
  <c r="G13" i="47"/>
  <c r="G18" i="47" s="1"/>
  <c r="M17" i="47"/>
  <c r="M31" i="47"/>
  <c r="M26" i="47"/>
  <c r="M18" i="47" l="1"/>
  <c r="N17" i="47"/>
  <c r="N18" i="47" s="1"/>
  <c r="C7" i="42" l="1"/>
  <c r="I17" i="29" l="1"/>
  <c r="G17" i="29"/>
  <c r="G11" i="29"/>
  <c r="G21" i="29" l="1"/>
  <c r="E9" i="29" l="1"/>
  <c r="P15" i="27"/>
  <c r="I11" i="29"/>
  <c r="I21" i="29" s="1"/>
  <c r="E11" i="29"/>
  <c r="E17" i="29" l="1"/>
  <c r="E21" i="29" s="1"/>
  <c r="I9" i="30"/>
  <c r="H9" i="30"/>
  <c r="H11" i="27"/>
  <c r="C8" i="42" l="1"/>
  <c r="S22" i="27" l="1"/>
  <c r="S16" i="27"/>
  <c r="S11" i="27"/>
  <c r="C8" i="41"/>
  <c r="O21" i="27"/>
  <c r="O18" i="27"/>
  <c r="O15" i="27"/>
  <c r="O14" i="27"/>
  <c r="O10" i="27"/>
  <c r="O9" i="27"/>
  <c r="O8" i="27"/>
  <c r="S26" i="27" l="1"/>
  <c r="D8" i="41"/>
  <c r="E8" i="41" s="1"/>
  <c r="D15" i="41"/>
  <c r="E15" i="41" s="1"/>
  <c r="K21" i="27"/>
  <c r="K18" i="27"/>
  <c r="K15" i="27"/>
  <c r="K14" i="27"/>
  <c r="K9" i="27"/>
  <c r="K10" i="27"/>
  <c r="K8" i="27"/>
  <c r="G21" i="27"/>
  <c r="G20" i="27"/>
  <c r="G18" i="27"/>
  <c r="F16" i="27"/>
  <c r="G15" i="27"/>
  <c r="G14" i="27"/>
  <c r="G9" i="27"/>
  <c r="G10" i="27"/>
  <c r="G8" i="27"/>
  <c r="H8" i="41" l="1"/>
  <c r="J22" i="27" l="1"/>
  <c r="J16" i="27" l="1"/>
  <c r="J11" i="27"/>
  <c r="I16" i="30" l="1"/>
  <c r="H16" i="30"/>
  <c r="G16" i="30"/>
  <c r="F16" i="30"/>
  <c r="E16" i="30"/>
  <c r="G10" i="30"/>
  <c r="I10" i="30"/>
  <c r="I19" i="30" s="1"/>
  <c r="H10" i="30"/>
  <c r="F10" i="30"/>
  <c r="E10" i="30"/>
  <c r="D16" i="30"/>
  <c r="D10" i="30"/>
  <c r="D19" i="30" s="1"/>
  <c r="G19" i="30" l="1"/>
  <c r="F19" i="30"/>
  <c r="E19" i="30"/>
  <c r="H19" i="30"/>
  <c r="H17" i="29"/>
  <c r="F17" i="29"/>
  <c r="D17" i="29"/>
  <c r="H11" i="29"/>
  <c r="H21" i="29" s="1"/>
  <c r="F11" i="29"/>
  <c r="D11" i="29"/>
  <c r="D21" i="29" s="1"/>
  <c r="E22" i="27"/>
  <c r="H22" i="27"/>
  <c r="I22" i="27"/>
  <c r="K22" i="27" s="1"/>
  <c r="L22" i="27"/>
  <c r="M22" i="27"/>
  <c r="N22" i="27"/>
  <c r="O22" i="27" s="1"/>
  <c r="P22" i="27"/>
  <c r="Q22" i="27"/>
  <c r="R22" i="27"/>
  <c r="D22" i="27"/>
  <c r="E16" i="27"/>
  <c r="H16" i="27"/>
  <c r="I16" i="27"/>
  <c r="L16" i="27"/>
  <c r="M16" i="27"/>
  <c r="N16" i="27"/>
  <c r="P16" i="27"/>
  <c r="Q16" i="27"/>
  <c r="R16" i="27"/>
  <c r="D16" i="27"/>
  <c r="E11" i="27"/>
  <c r="I11" i="27"/>
  <c r="L11" i="27"/>
  <c r="L26" i="27" s="1"/>
  <c r="M11" i="27"/>
  <c r="P11" i="27"/>
  <c r="Q11" i="27"/>
  <c r="Q26" i="27" s="1"/>
  <c r="R11" i="27"/>
  <c r="D11" i="27"/>
  <c r="P26" i="27" l="1"/>
  <c r="R26" i="27"/>
  <c r="F21" i="29"/>
  <c r="I26" i="27"/>
  <c r="D14" i="41"/>
  <c r="E14" i="41" s="1"/>
  <c r="D9" i="41"/>
  <c r="D16" i="41"/>
  <c r="G16" i="27"/>
  <c r="K11" i="27"/>
  <c r="K16" i="27"/>
  <c r="O16" i="27"/>
  <c r="F22" i="27"/>
  <c r="G22" i="27" s="1"/>
  <c r="F11" i="27"/>
  <c r="G26" i="27" s="1"/>
  <c r="D17" i="41" l="1"/>
  <c r="D7" i="41"/>
  <c r="D10" i="41" s="1"/>
  <c r="C9" i="41"/>
  <c r="G11" i="27"/>
  <c r="N11" i="27"/>
  <c r="N26" i="27" s="1"/>
  <c r="O26" i="27" l="1"/>
  <c r="E9" i="41"/>
  <c r="C16" i="41"/>
  <c r="O11" i="27"/>
  <c r="K26" i="27"/>
  <c r="C17" i="41" l="1"/>
  <c r="E16" i="41"/>
  <c r="C7" i="41"/>
  <c r="E17" i="41" l="1"/>
  <c r="I7" i="41"/>
  <c r="C10" i="41"/>
  <c r="E7" i="41"/>
  <c r="E10" i="41" l="1"/>
  <c r="H7" i="41"/>
  <c r="K24" i="27"/>
</calcChain>
</file>

<file path=xl/sharedStrings.xml><?xml version="1.0" encoding="utf-8"?>
<sst xmlns="http://schemas.openxmlformats.org/spreadsheetml/2006/main" count="316" uniqueCount="193">
  <si>
    <t>Multifamily</t>
  </si>
  <si>
    <t>C&amp;I</t>
  </si>
  <si>
    <t>Clean Heat Beneficial Electrification</t>
  </si>
  <si>
    <t>Reported Totals for Utility Administered Programs</t>
  </si>
  <si>
    <t>Residential</t>
  </si>
  <si>
    <t>Peak Demand Reduction</t>
  </si>
  <si>
    <r>
      <t>Annual Energy Savings</t>
    </r>
    <r>
      <rPr>
        <vertAlign val="superscript"/>
        <sz val="9"/>
        <color indexed="9"/>
        <rFont val="Calibri"/>
        <family val="2"/>
        <scheme val="minor"/>
      </rPr>
      <t>1</t>
    </r>
  </si>
  <si>
    <t>Annual Target Retail Savings (MWh)</t>
  </si>
  <si>
    <t>Percent of Annual Target</t>
  </si>
  <si>
    <t>Clean Heat Beneficial Electrification**</t>
  </si>
  <si>
    <t>Participation</t>
  </si>
  <si>
    <t>Residential Efficient Products</t>
  </si>
  <si>
    <t>Existing Homes</t>
  </si>
  <si>
    <t>Multi-Family</t>
  </si>
  <si>
    <t>C&amp;I Direct Install</t>
  </si>
  <si>
    <t>NJCEP Comfort Partners</t>
  </si>
  <si>
    <t>Table 8 -  Benefit-Cost Test Results</t>
  </si>
  <si>
    <t>Program</t>
  </si>
  <si>
    <t>Initial</t>
  </si>
  <si>
    <t>Final</t>
  </si>
  <si>
    <t>NJCT</t>
  </si>
  <si>
    <t>PCT</t>
  </si>
  <si>
    <t>PACT</t>
  </si>
  <si>
    <t>RIMT</t>
  </si>
  <si>
    <t>TRCT</t>
  </si>
  <si>
    <t>SCT</t>
  </si>
  <si>
    <t>Home Performance with Energy Star</t>
  </si>
  <si>
    <t>Small Business Direct Install</t>
  </si>
  <si>
    <t>Commercial and Industrial Rebate</t>
  </si>
  <si>
    <t>EE Portfolio</t>
  </si>
  <si>
    <t>Efficient Products</t>
  </si>
  <si>
    <t>Moderate Income Weatherization</t>
  </si>
  <si>
    <t>Direct Install</t>
  </si>
  <si>
    <t>Prescriptive/Custom</t>
  </si>
  <si>
    <t>HPwES</t>
  </si>
  <si>
    <t>Energy Efficiency and PDR Savings Summary</t>
  </si>
  <si>
    <t>For Period Ending PY23Q3</t>
  </si>
  <si>
    <t xml:space="preserve"> </t>
  </si>
  <si>
    <t>Actual Expenditures</t>
  </si>
  <si>
    <t>Ex Ante Energy Savings</t>
  </si>
  <si>
    <t>A</t>
  </si>
  <si>
    <t>B</t>
  </si>
  <si>
    <t>C</t>
  </si>
  <si>
    <t>D=C/B</t>
  </si>
  <si>
    <t>E</t>
  </si>
  <si>
    <t>F</t>
  </si>
  <si>
    <t>G</t>
  </si>
  <si>
    <t>H=G/F</t>
  </si>
  <si>
    <t>I</t>
  </si>
  <si>
    <t>J</t>
  </si>
  <si>
    <t>K</t>
  </si>
  <si>
    <t>L=K/J</t>
  </si>
  <si>
    <t>M</t>
  </si>
  <si>
    <t>N</t>
  </si>
  <si>
    <t>O</t>
  </si>
  <si>
    <t>P</t>
  </si>
  <si>
    <t>Quarter</t>
  </si>
  <si>
    <t>Annual Forecasted Participation Number</t>
  </si>
  <si>
    <t>YTD Reported Participation Number</t>
  </si>
  <si>
    <t>YTD % of Annual Participants</t>
  </si>
  <si>
    <t>Quarter ($000)</t>
  </si>
  <si>
    <r>
      <t>Annual Forecasted Program Costs ($000)</t>
    </r>
    <r>
      <rPr>
        <vertAlign val="superscript"/>
        <sz val="9"/>
        <color rgb="FFFFFFFF"/>
        <rFont val="Calibri"/>
        <family val="2"/>
        <scheme val="minor"/>
      </rPr>
      <t>1</t>
    </r>
  </si>
  <si>
    <t>YTD Reported Program Costs ($000)</t>
  </si>
  <si>
    <t>YTD % of Annual Budget</t>
  </si>
  <si>
    <t>Quarter Annual Retail Energy Savings (MWh)</t>
  </si>
  <si>
    <t>Annual Forecasted Retail Energy Savings (MWh)</t>
  </si>
  <si>
    <t>YTD Reported Retail Energy Savings (MWh)</t>
  </si>
  <si>
    <t>YTD % of Annual Energy Savings</t>
  </si>
  <si>
    <r>
      <t>Reported Wholesale Energy Savings</t>
    </r>
    <r>
      <rPr>
        <vertAlign val="superscript"/>
        <sz val="9"/>
        <color rgb="FFFFFFFF"/>
        <rFont val="Calibri"/>
        <family val="2"/>
        <scheme val="minor"/>
      </rPr>
      <t>2</t>
    </r>
    <r>
      <rPr>
        <sz val="9"/>
        <color indexed="9"/>
        <rFont val="Calibri"/>
        <family val="2"/>
        <scheme val="minor"/>
      </rPr>
      <t xml:space="preserve"> (MWh)</t>
    </r>
  </si>
  <si>
    <t>YTD Peak Demand Savings (MW)</t>
  </si>
  <si>
    <t>Quarter Lifetime Savings (MWh)</t>
  </si>
  <si>
    <t>YTD Lifetime Savings (MWh)</t>
  </si>
  <si>
    <t>Quarter EUL</t>
  </si>
  <si>
    <t>Residential Programs</t>
  </si>
  <si>
    <t>Sub Programs</t>
  </si>
  <si>
    <t>Efficient Products*</t>
  </si>
  <si>
    <t>Appliance Recycling/Rebate, Behavioral, Retail Lighting, Marketplace, Midstream HVAC</t>
  </si>
  <si>
    <t>Existing Homes*</t>
  </si>
  <si>
    <t>Home Performance with Energy Star, Quick Home Energy Check</t>
  </si>
  <si>
    <t>Total Residential</t>
  </si>
  <si>
    <t>Business Programs</t>
  </si>
  <si>
    <t>C&amp;I Direct Install*</t>
  </si>
  <si>
    <t>N/A</t>
  </si>
  <si>
    <t>C&amp;I Rebate Program*</t>
  </si>
  <si>
    <t>Prescriptive/Custom, Energy Management, Engineered Solutions, Midstream Lighting/HVAC</t>
  </si>
  <si>
    <t>Total Business</t>
  </si>
  <si>
    <t>Multi-Family*</t>
  </si>
  <si>
    <t>Pilot Programs</t>
  </si>
  <si>
    <t>Bring Your Own Thermostat, Commercial System Relief Program, Behavioral DR</t>
  </si>
  <si>
    <t>Total Pilot</t>
  </si>
  <si>
    <t>Supportive Costs Outside Portfolio***</t>
  </si>
  <si>
    <t>Portfolio Total</t>
  </si>
  <si>
    <r>
      <rPr>
        <vertAlign val="superscript"/>
        <sz val="11"/>
        <rFont val="Calibri"/>
        <family val="2"/>
        <scheme val="minor"/>
      </rPr>
      <t>1</t>
    </r>
    <r>
      <rPr>
        <sz val="11"/>
        <rFont val="Calibri"/>
        <family val="2"/>
        <scheme val="minor"/>
      </rPr>
      <t xml:space="preserve"> Annual Forecasted Program Costs reflect values anticipated in Board-approved Utility EE/PDR proposals and may not incorporate budget adjustments as provided for in the June 10, 2020 Board Order.</t>
    </r>
  </si>
  <si>
    <r>
      <t xml:space="preserve">2 </t>
    </r>
    <r>
      <rPr>
        <sz val="11"/>
        <color rgb="FF000000"/>
        <rFont val="Times New Roman"/>
        <family val="1"/>
      </rPr>
      <t>Wholesale savings at the gross wholesale level include retail savings plus marginal line losses, using approved line loss factor in utility’s tariff grossed up by 1.5, per the Avoided Cost Methodology in the NJ Cost Test.</t>
    </r>
  </si>
  <si>
    <t>* Denotes a core EE program. Home Performance with Energy Star only includes non-LMI; the comparable program for LMI participants is Comfort Partners, which is jointly administered by the State and Utilities.</t>
  </si>
  <si>
    <t xml:space="preserve">** Savings are in MMBtu and are not included in the portfolio MWh total. </t>
  </si>
  <si>
    <t>***Supportive Costs include the Statewide Coordinator</t>
  </si>
  <si>
    <t xml:space="preserve">  </t>
  </si>
  <si>
    <t>Incentive Expenditures (Customer Rebates and Low/no-cost financing)</t>
  </si>
  <si>
    <t>D</t>
  </si>
  <si>
    <t>YTD Reported Incentive Costs ($000)</t>
  </si>
  <si>
    <t>LMI</t>
  </si>
  <si>
    <t>Non-LMI or Unverified</t>
  </si>
  <si>
    <t>Supportive Costs Outside Portfolio</t>
  </si>
  <si>
    <r>
      <rPr>
        <vertAlign val="superscript"/>
        <sz val="11"/>
        <rFont val="Calibri"/>
        <family val="2"/>
        <scheme val="minor"/>
      </rPr>
      <t>1</t>
    </r>
    <r>
      <rPr>
        <sz val="11"/>
        <rFont val="Calibri"/>
        <family val="2"/>
        <scheme val="minor"/>
      </rPr>
      <t xml:space="preserve"> Income-qualified customers are directed to participate through the Comfort Partners or Moderate Income Weatherization programs.</t>
    </r>
  </si>
  <si>
    <t>YTD Reported Incentive Costs ($)</t>
  </si>
  <si>
    <t>Small Commercial</t>
  </si>
  <si>
    <t>Large Commercial</t>
  </si>
  <si>
    <t>C&amp;I Rebate Program</t>
  </si>
  <si>
    <t>RECO</t>
  </si>
  <si>
    <r>
      <t>Appendix</t>
    </r>
    <r>
      <rPr>
        <b/>
        <sz val="14"/>
        <rFont val="Arial"/>
        <family val="2"/>
      </rPr>
      <t xml:space="preserve"> F</t>
    </r>
    <r>
      <rPr>
        <b/>
        <sz val="14"/>
        <color theme="1"/>
        <rFont val="Arial"/>
        <family val="2"/>
      </rPr>
      <t xml:space="preserve"> – Energy Savings with FY2022 TRM Addendum</t>
    </r>
  </si>
  <si>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</si>
  <si>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t>Table F-1 – Sector-Level Energy Savings:  Primary Metrics from 2020/21 TRM</t>
  </si>
  <si>
    <t>Annual Retail (MWh)</t>
  </si>
  <si>
    <t>Primary Metrics - 2020/21  TRM</t>
  </si>
  <si>
    <t>Secondary Metrics - 2022 TRM</t>
  </si>
  <si>
    <t>Annual Savings</t>
  </si>
  <si>
    <t>Lifetime Savings</t>
  </si>
  <si>
    <t>Figure A-1 - Program Year [2022] Portfolio-Level Annual Energy Savings – Primary vs. Seondary Metrics</t>
  </si>
  <si>
    <t>Table F-2 – Sector-Level Energy Savings: Secondary Metrics from 2022 TRM Addendum</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</si>
  <si>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</si>
  <si>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</si>
  <si>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r>
      <t xml:space="preserve">Appendix </t>
    </r>
    <r>
      <rPr>
        <b/>
        <sz val="14"/>
        <rFont val="Arial"/>
        <family val="2"/>
      </rPr>
      <t>G</t>
    </r>
    <r>
      <rPr>
        <b/>
        <sz val="14"/>
        <color theme="1"/>
        <rFont val="Arial"/>
        <family val="2"/>
      </rPr>
      <t xml:space="preserve"> - Ex-ante Energy Savings held by Utility for Transfer</t>
    </r>
  </si>
  <si>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</si>
  <si>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RECO</t>
  </si>
  <si>
    <t>Dth held for transfer</t>
  </si>
  <si>
    <t>1,482 Smart T-Stats sold with a savings of 4.037 Dth each.</t>
  </si>
  <si>
    <t>Total</t>
  </si>
  <si>
    <t>Appendix H - Cost Effectiveness Test Details</t>
  </si>
  <si>
    <t>MF</t>
  </si>
  <si>
    <t>Business</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</si>
  <si>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</si>
  <si>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</si>
  <si>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</si>
  <si>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</si>
  <si>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</si>
  <si>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</si>
  <si>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</si>
  <si>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</si>
  <si>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</si>
  <si>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</si>
  <si>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</si>
  <si>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</si>
  <si>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</si>
  <si>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</si>
  <si>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</si>
  <si>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</si>
  <si>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</si>
  <si>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</si>
  <si>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</si>
  <si>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</si>
  <si>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</si>
  <si>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</si>
  <si>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</si>
  <si>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</si>
  <si>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</si>
  <si>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</si>
  <si>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</si>
  <si>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</si>
  <si>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</si>
  <si>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</si>
  <si>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</si>
  <si>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</si>
  <si>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</si>
  <si>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</si>
  <si>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Total Benefit = 16+17+18+19+20+21+22+23+24+25</t>
  </si>
  <si>
    <t>Total Costs = 26+27+28</t>
  </si>
  <si>
    <t>Benefit Cost Ratio = (16+17+18+19+20+21+22+23+24+25)/(26+27+28)</t>
  </si>
  <si>
    <t xml:space="preserve">In Word document only </t>
  </si>
  <si>
    <t>FY23-Q3</t>
  </si>
  <si>
    <t>Sector</t>
  </si>
  <si>
    <t>Sub-Program</t>
  </si>
  <si>
    <t>Commercial</t>
  </si>
  <si>
    <t xml:space="preserve">Pilot Program </t>
  </si>
  <si>
    <t>Program Manager</t>
  </si>
  <si>
    <t>ACE</t>
  </si>
  <si>
    <t>ETG</t>
  </si>
  <si>
    <t>JCPL</t>
  </si>
  <si>
    <t>NJNG</t>
  </si>
  <si>
    <t>PSEG</t>
  </si>
  <si>
    <t>SJG</t>
  </si>
  <si>
    <t>Reporting Quarter &amp; Year</t>
  </si>
  <si>
    <t>FY22-Q1</t>
  </si>
  <si>
    <t>FY22-Q2</t>
  </si>
  <si>
    <t>FY22-Q3</t>
  </si>
  <si>
    <t>FY22-Q4</t>
  </si>
  <si>
    <t>FY23-Q1</t>
  </si>
  <si>
    <t>FY23-Q2</t>
  </si>
  <si>
    <t>FY23-Q4</t>
  </si>
  <si>
    <t>FY24-Q1</t>
  </si>
  <si>
    <t>FY24-Q2</t>
  </si>
  <si>
    <t>FY24-Q3</t>
  </si>
  <si>
    <t>FY24-Q4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</si>
</sst>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_(* #,##0_);_(* \(#,##0\);_(* &quot;-&quot;??_);_(@_)"/>
    <numFmt numFmtId="165" formatCode="_(&quot;$&quot;* #,##0_);_(&quot;$&quot;* \(#,##0\);_(&quot;$&quot;* &quot;-&quot;??_);_(@_)"/>
  </numFmts>
  <fonts count="2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sz val="10"/>
      <name val="Arial"/>
      <family val="2"/>
    </font>
    <font>
      <vertAlign val="superscript"/>
      <sz val="9"/>
      <color indexed="9"/>
      <name val="Calibri"/>
      <family val="2"/>
      <scheme val="minor"/>
    </font>
    <font>
      <sz val="11"/>
      <name val="Arial Black"/>
      <family val="2"/>
    </font>
    <font>
      <b/>
      <sz val="11"/>
      <name val="Calibri "/>
    </font>
    <font>
      <sz val="11"/>
      <color theme="1"/>
      <name val="Arial"/>
      <family val="2"/>
    </font>
    <font>
      <b/>
      <sz val="14"/>
      <color theme="1"/>
      <name val="Arial"/>
      <family val="2"/>
    </font>
    <font>
      <b/>
      <sz val="14"/>
      <name val="Arial"/>
      <family val="2"/>
    </font>
    <font>
      <sz val="11"/>
      <name val="Arial"/>
      <family val="2"/>
    </font>
    <font>
      <sz val="12"/>
      <color rgb="FF000000"/>
      <name val="Times New Roman"/>
      <family val="1"/>
    </font>
    <font>
      <vertAlign val="superscript"/>
      <sz val="11"/>
      <color theme="1"/>
      <name val="Arial"/>
      <family val="2"/>
    </font>
    <font>
      <b/>
      <sz val="11"/>
      <color theme="1"/>
      <name val="Arial"/>
      <family val="2"/>
    </font>
    <font>
      <sz val="8"/>
      <color theme="1"/>
      <name val="Arial"/>
      <family val="2"/>
    </font>
    <font>
      <vertAlign val="superscript"/>
      <sz val="11"/>
      <color rgb="FF000000"/>
      <name val="Times New Roman"/>
      <family val="1"/>
    </font>
    <font>
      <sz val="11"/>
      <color rgb="FF000000"/>
      <name val="Times New Roman"/>
      <family val="1"/>
    </font>
    <font>
      <sz val="11"/>
      <color rgb="FFFF0000"/>
      <name val="Calibri"/>
      <family val="2"/>
    </font>
  </fonts>
  <fills count="11">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7" tint="0.39997558519241921"/>
        <bgColor indexed="64"/>
      </patternFill>
    </fill>
  </fills>
  <borders count="64">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8" fillId="0" borderId="0"/>
    <xf numFmtId="0" fontId="14" fillId="0" borderId="0"/>
    <xf numFmtId="0" fontId="16" fillId="0" borderId="0"/>
  </cellStyleXfs>
  <cellXfs count="395">
    <xf numFmtId="0" fontId="0" fillId="0" borderId="0" xfId="0"/>
    <xf numFmtId="0" fontId="4" fillId="0" borderId="0" xfId="0" applyFont="1"/>
    <xf numFmtId="164" fontId="0" fillId="0" borderId="0" xfId="1" applyNumberFormat="1" applyFont="1"/>
    <xf numFmtId="43" fontId="0" fillId="0" borderId="0" xfId="1" applyFont="1"/>
    <xf numFmtId="165" fontId="0" fillId="0" borderId="0" xfId="2" applyNumberFormat="1" applyFont="1"/>
    <xf numFmtId="0" fontId="5" fillId="0" borderId="0" xfId="0" applyFont="1"/>
    <xf numFmtId="0" fontId="7" fillId="2" borderId="8"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0" fillId="2" borderId="24" xfId="0" applyFill="1" applyBorder="1" applyAlignment="1">
      <alignment vertical="center" wrapText="1"/>
    </xf>
    <xf numFmtId="0" fontId="0" fillId="5" borderId="17" xfId="0" applyFill="1" applyBorder="1"/>
    <xf numFmtId="0" fontId="3" fillId="3" borderId="17" xfId="0" applyFont="1" applyFill="1" applyBorder="1"/>
    <xf numFmtId="0" fontId="3" fillId="3" borderId="15" xfId="0" applyFont="1" applyFill="1" applyBorder="1"/>
    <xf numFmtId="164" fontId="3" fillId="3" borderId="15" xfId="1" applyNumberFormat="1" applyFont="1" applyFill="1" applyBorder="1" applyAlignment="1"/>
    <xf numFmtId="0" fontId="0" fillId="0" borderId="17" xfId="0" applyBorder="1"/>
    <xf numFmtId="0" fontId="2" fillId="0" borderId="0" xfId="0" applyFont="1"/>
    <xf numFmtId="165" fontId="2" fillId="0" borderId="0" xfId="2" applyNumberFormat="1" applyFont="1"/>
    <xf numFmtId="164" fontId="2" fillId="0" borderId="0" xfId="1" applyNumberFormat="1" applyFont="1"/>
    <xf numFmtId="0" fontId="3" fillId="3" borderId="28" xfId="0" applyFont="1" applyFill="1" applyBorder="1"/>
    <xf numFmtId="0" fontId="0" fillId="0" borderId="15" xfId="0" applyBorder="1" applyAlignment="1">
      <alignment vertical="center"/>
    </xf>
    <xf numFmtId="0" fontId="0" fillId="0" borderId="15" xfId="0" applyBorder="1"/>
    <xf numFmtId="0" fontId="3" fillId="3" borderId="31" xfId="0" applyFont="1" applyFill="1" applyBorder="1"/>
    <xf numFmtId="164" fontId="3" fillId="3" borderId="33" xfId="1" applyNumberFormat="1" applyFont="1" applyFill="1" applyBorder="1" applyAlignment="1"/>
    <xf numFmtId="0" fontId="10" fillId="0" borderId="0" xfId="0" applyFont="1"/>
    <xf numFmtId="0" fontId="7" fillId="2" borderId="37" xfId="0" applyFont="1" applyFill="1" applyBorder="1" applyAlignment="1">
      <alignment horizontal="center" vertical="center" wrapText="1"/>
    </xf>
    <xf numFmtId="164" fontId="7" fillId="2" borderId="11" xfId="1" applyNumberFormat="1"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7" borderId="37" xfId="0" applyFont="1" applyFill="1" applyBorder="1" applyAlignment="1">
      <alignment horizontal="center" vertical="center" wrapText="1"/>
    </xf>
    <xf numFmtId="0" fontId="7" fillId="7" borderId="7" xfId="0" applyFont="1" applyFill="1" applyBorder="1" applyAlignment="1">
      <alignment horizontal="center" vertical="center" wrapText="1"/>
    </xf>
    <xf numFmtId="164" fontId="7" fillId="7" borderId="11" xfId="1" applyNumberFormat="1" applyFont="1" applyFill="1" applyBorder="1" applyAlignment="1">
      <alignment horizontal="center" vertical="center" wrapText="1"/>
    </xf>
    <xf numFmtId="164" fontId="7" fillId="7" borderId="12" xfId="1" applyNumberFormat="1"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8" xfId="0" applyFont="1" applyFill="1" applyBorder="1" applyAlignment="1">
      <alignment horizontal="center" vertical="center" wrapText="1"/>
    </xf>
    <xf numFmtId="164" fontId="3" fillId="3" borderId="39" xfId="1" applyNumberFormat="1" applyFont="1" applyFill="1" applyBorder="1" applyAlignment="1"/>
    <xf numFmtId="0" fontId="3" fillId="3" borderId="29" xfId="0" applyFont="1" applyFill="1" applyBorder="1"/>
    <xf numFmtId="0" fontId="3" fillId="3" borderId="41"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3" fillId="3" borderId="43" xfId="0" applyFont="1" applyFill="1" applyBorder="1"/>
    <xf numFmtId="0" fontId="3" fillId="3" borderId="45" xfId="0" applyFont="1" applyFill="1" applyBorder="1"/>
    <xf numFmtId="0" fontId="3" fillId="3" borderId="47" xfId="0" applyFont="1" applyFill="1" applyBorder="1"/>
    <xf numFmtId="0" fontId="3" fillId="3" borderId="40" xfId="0" applyFont="1" applyFill="1" applyBorder="1"/>
    <xf numFmtId="0" fontId="7" fillId="2" borderId="18" xfId="0" applyFont="1" applyFill="1" applyBorder="1" applyAlignment="1">
      <alignment horizontal="center" vertical="center" wrapText="1"/>
    </xf>
    <xf numFmtId="0" fontId="7" fillId="2" borderId="48" xfId="0" applyFont="1" applyFill="1" applyBorder="1" applyAlignment="1">
      <alignment horizontal="center" vertical="center" wrapText="1"/>
    </xf>
    <xf numFmtId="0" fontId="0" fillId="0" borderId="16" xfId="0" applyBorder="1" applyAlignment="1">
      <alignment horizontal="center" vertical="center"/>
    </xf>
    <xf numFmtId="0" fontId="7" fillId="7" borderId="18" xfId="0" applyFont="1" applyFill="1" applyBorder="1" applyAlignment="1">
      <alignment horizontal="center" vertical="center" wrapText="1"/>
    </xf>
    <xf numFmtId="0" fontId="7" fillId="7" borderId="48" xfId="0" applyFont="1" applyFill="1" applyBorder="1" applyAlignment="1">
      <alignment horizontal="center" vertical="center" wrapText="1"/>
    </xf>
    <xf numFmtId="0" fontId="6" fillId="7" borderId="44"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0" fillId="5" borderId="0" xfId="0" applyFill="1"/>
    <xf numFmtId="164" fontId="3" fillId="5" borderId="0" xfId="1" applyNumberFormat="1" applyFont="1" applyFill="1" applyBorder="1" applyAlignment="1"/>
    <xf numFmtId="165" fontId="3" fillId="5" borderId="0" xfId="2" applyNumberFormat="1" applyFont="1" applyFill="1" applyBorder="1" applyAlignment="1"/>
    <xf numFmtId="164" fontId="0" fillId="5" borderId="0" xfId="1" applyNumberFormat="1" applyFont="1" applyFill="1" applyBorder="1" applyAlignment="1">
      <alignment horizontal="right"/>
    </xf>
    <xf numFmtId="165" fontId="0" fillId="5" borderId="0" xfId="2" applyNumberFormat="1" applyFont="1" applyFill="1" applyBorder="1"/>
    <xf numFmtId="164" fontId="0" fillId="5" borderId="0" xfId="1" applyNumberFormat="1" applyFont="1" applyFill="1" applyBorder="1"/>
    <xf numFmtId="0" fontId="6" fillId="2" borderId="50" xfId="0" applyFont="1" applyFill="1" applyBorder="1" applyAlignment="1">
      <alignment horizontal="center" vertical="center" wrapText="1"/>
    </xf>
    <xf numFmtId="0" fontId="0" fillId="5" borderId="15" xfId="0" applyFill="1" applyBorder="1"/>
    <xf numFmtId="0" fontId="0" fillId="0" borderId="15" xfId="0" applyBorder="1" applyAlignment="1">
      <alignment horizontal="left" vertical="center" wrapText="1"/>
    </xf>
    <xf numFmtId="42" fontId="0" fillId="0" borderId="15" xfId="2" applyNumberFormat="1" applyFont="1" applyBorder="1" applyAlignment="1">
      <alignment vertical="center"/>
    </xf>
    <xf numFmtId="42" fontId="0" fillId="0" borderId="15" xfId="2" applyNumberFormat="1" applyFont="1" applyBorder="1"/>
    <xf numFmtId="42" fontId="0" fillId="0" borderId="15" xfId="0" applyNumberFormat="1" applyBorder="1"/>
    <xf numFmtId="9" fontId="0" fillId="0" borderId="0" xfId="0" applyNumberFormat="1"/>
    <xf numFmtId="3" fontId="0" fillId="5" borderId="15" xfId="0" applyNumberFormat="1" applyFill="1" applyBorder="1"/>
    <xf numFmtId="42" fontId="0" fillId="5" borderId="15" xfId="0" applyNumberFormat="1" applyFill="1" applyBorder="1"/>
    <xf numFmtId="9" fontId="0" fillId="5" borderId="15" xfId="3" applyFont="1" applyFill="1" applyBorder="1"/>
    <xf numFmtId="3" fontId="3" fillId="3" borderId="15" xfId="0" applyNumberFormat="1" applyFont="1" applyFill="1" applyBorder="1"/>
    <xf numFmtId="9" fontId="3" fillId="3" borderId="15" xfId="3" applyFont="1" applyFill="1" applyBorder="1"/>
    <xf numFmtId="42" fontId="3" fillId="3" borderId="15" xfId="2" applyNumberFormat="1" applyFont="1" applyFill="1" applyBorder="1"/>
    <xf numFmtId="42" fontId="3" fillId="3" borderId="15" xfId="0" applyNumberFormat="1" applyFont="1" applyFill="1" applyBorder="1"/>
    <xf numFmtId="0" fontId="0" fillId="2" borderId="15" xfId="0" applyFill="1" applyBorder="1" applyAlignment="1">
      <alignment vertical="center" wrapText="1"/>
    </xf>
    <xf numFmtId="42" fontId="0" fillId="0" borderId="15" xfId="0" applyNumberFormat="1" applyBorder="1" applyAlignment="1">
      <alignment vertical="center"/>
    </xf>
    <xf numFmtId="3" fontId="0" fillId="0" borderId="15" xfId="0" applyNumberFormat="1" applyBorder="1" applyAlignment="1">
      <alignment vertical="center"/>
    </xf>
    <xf numFmtId="0" fontId="0" fillId="5" borderId="15" xfId="0" applyFill="1" applyBorder="1" applyAlignment="1">
      <alignment horizontal="left" vertical="center" wrapText="1"/>
    </xf>
    <xf numFmtId="42" fontId="0" fillId="5" borderId="15" xfId="2" applyNumberFormat="1" applyFont="1" applyFill="1" applyBorder="1"/>
    <xf numFmtId="0" fontId="3" fillId="3" borderId="16" xfId="0" applyFont="1" applyFill="1" applyBorder="1"/>
    <xf numFmtId="0" fontId="0" fillId="2" borderId="17" xfId="0" applyFill="1" applyBorder="1" applyAlignment="1">
      <alignment vertical="center" wrapText="1"/>
    </xf>
    <xf numFmtId="0" fontId="0" fillId="2" borderId="16" xfId="0" applyFill="1" applyBorder="1" applyAlignment="1">
      <alignment vertical="center" wrapText="1"/>
    </xf>
    <xf numFmtId="164" fontId="3" fillId="3" borderId="16" xfId="1" applyNumberFormat="1" applyFont="1" applyFill="1" applyBorder="1" applyAlignment="1"/>
    <xf numFmtId="0" fontId="0" fillId="5" borderId="17" xfId="0" applyFill="1" applyBorder="1" applyAlignment="1">
      <alignment horizontal="left" vertical="center"/>
    </xf>
    <xf numFmtId="0" fontId="6" fillId="2" borderId="7" xfId="0" applyFont="1" applyFill="1" applyBorder="1" applyAlignment="1">
      <alignment horizontal="center" vertical="center" wrapText="1"/>
    </xf>
    <xf numFmtId="0" fontId="6" fillId="2" borderId="12" xfId="0"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0" fontId="0" fillId="0" borderId="15" xfId="0" applyBorder="1" applyAlignment="1">
      <alignment horizontal="center" vertical="center"/>
    </xf>
    <xf numFmtId="0" fontId="6" fillId="2" borderId="2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47"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4" xfId="0" applyFont="1" applyFill="1" applyBorder="1" applyAlignment="1">
      <alignment horizontal="center" vertical="center" wrapText="1"/>
    </xf>
    <xf numFmtId="0" fontId="3" fillId="3" borderId="5" xfId="0" applyFont="1" applyFill="1" applyBorder="1"/>
    <xf numFmtId="0" fontId="3" fillId="3" borderId="7" xfId="0" applyFont="1" applyFill="1" applyBorder="1"/>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8" borderId="17" xfId="0" applyFont="1" applyFill="1" applyBorder="1"/>
    <xf numFmtId="0" fontId="0" fillId="5" borderId="19" xfId="0" applyFill="1" applyBorder="1"/>
    <xf numFmtId="0" fontId="3" fillId="3" borderId="2" xfId="0" applyFont="1" applyFill="1" applyBorder="1"/>
    <xf numFmtId="0" fontId="3" fillId="3" borderId="51" xfId="0" applyFont="1" applyFill="1" applyBorder="1"/>
    <xf numFmtId="0" fontId="3" fillId="3" borderId="2" xfId="0" applyFont="1" applyFill="1" applyBorder="1" applyAlignment="1">
      <alignment horizontal="center" vertical="center"/>
    </xf>
    <xf numFmtId="0" fontId="3" fillId="3" borderId="32"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12" fillId="9" borderId="15" xfId="5" applyFont="1" applyFill="1" applyBorder="1" applyAlignment="1">
      <alignment horizontal="center"/>
    </xf>
    <xf numFmtId="49" fontId="0" fillId="0" borderId="15" xfId="0" applyNumberFormat="1" applyBorder="1"/>
    <xf numFmtId="0" fontId="12" fillId="9" borderId="26" xfId="5" applyFont="1" applyFill="1" applyBorder="1" applyAlignment="1">
      <alignment horizontal="center"/>
    </xf>
    <xf numFmtId="0" fontId="8" fillId="0" borderId="15" xfId="5" applyBorder="1"/>
    <xf numFmtId="164" fontId="7" fillId="2" borderId="13" xfId="1" applyNumberFormat="1" applyFont="1" applyFill="1" applyBorder="1" applyAlignment="1">
      <alignment horizontal="center" vertical="center" wrapText="1"/>
    </xf>
    <xf numFmtId="164" fontId="3" fillId="3" borderId="1" xfId="1" applyNumberFormat="1" applyFont="1" applyFill="1" applyBorder="1" applyAlignment="1"/>
    <xf numFmtId="3" fontId="0" fillId="5" borderId="24" xfId="0" applyNumberFormat="1" applyFill="1" applyBorder="1"/>
    <xf numFmtId="164" fontId="3" fillId="3" borderId="24" xfId="1" applyNumberFormat="1" applyFont="1" applyFill="1" applyBorder="1" applyAlignment="1"/>
    <xf numFmtId="164" fontId="3" fillId="3" borderId="41" xfId="1" applyNumberFormat="1" applyFont="1" applyFill="1" applyBorder="1" applyAlignment="1"/>
    <xf numFmtId="9" fontId="3" fillId="3" borderId="30" xfId="3" applyFont="1" applyFill="1" applyBorder="1"/>
    <xf numFmtId="0" fontId="0" fillId="2" borderId="30" xfId="0" applyFill="1" applyBorder="1" applyAlignment="1">
      <alignment vertical="center" wrapText="1"/>
    </xf>
    <xf numFmtId="0" fontId="3" fillId="3" borderId="30" xfId="0" applyFont="1" applyFill="1" applyBorder="1"/>
    <xf numFmtId="3" fontId="0" fillId="5" borderId="17" xfId="0" applyNumberFormat="1" applyFill="1" applyBorder="1"/>
    <xf numFmtId="3" fontId="3" fillId="3" borderId="17" xfId="0" applyNumberFormat="1" applyFont="1" applyFill="1" applyBorder="1"/>
    <xf numFmtId="0" fontId="0" fillId="0" borderId="17" xfId="0" applyBorder="1" applyAlignment="1">
      <alignment vertical="center"/>
    </xf>
    <xf numFmtId="0" fontId="3" fillId="3" borderId="36" xfId="0" applyFont="1" applyFill="1" applyBorder="1"/>
    <xf numFmtId="9" fontId="1" fillId="5" borderId="16" xfId="3" applyFont="1" applyFill="1" applyBorder="1"/>
    <xf numFmtId="42" fontId="0" fillId="0" borderId="17" xfId="2" applyNumberFormat="1" applyFont="1" applyBorder="1" applyAlignment="1">
      <alignment vertical="center"/>
    </xf>
    <xf numFmtId="42" fontId="3" fillId="3" borderId="17" xfId="2" applyNumberFormat="1" applyFont="1" applyFill="1" applyBorder="1"/>
    <xf numFmtId="9" fontId="3" fillId="3" borderId="16" xfId="3" applyFont="1" applyFill="1" applyBorder="1"/>
    <xf numFmtId="42" fontId="0" fillId="0" borderId="17" xfId="0" applyNumberFormat="1" applyBorder="1" applyAlignment="1">
      <alignment vertical="center"/>
    </xf>
    <xf numFmtId="42" fontId="0" fillId="0" borderId="17" xfId="2" applyNumberFormat="1" applyFont="1" applyBorder="1"/>
    <xf numFmtId="42" fontId="0" fillId="5" borderId="17" xfId="2" applyNumberFormat="1" applyFont="1" applyFill="1" applyBorder="1"/>
    <xf numFmtId="3" fontId="0" fillId="0" borderId="28" xfId="0" applyNumberFormat="1" applyBorder="1" applyAlignment="1">
      <alignment vertical="center"/>
    </xf>
    <xf numFmtId="3" fontId="3" fillId="3" borderId="28" xfId="0" applyNumberFormat="1" applyFont="1" applyFill="1" applyBorder="1"/>
    <xf numFmtId="0" fontId="0" fillId="2" borderId="28" xfId="0" applyFill="1" applyBorder="1" applyAlignment="1">
      <alignment vertical="center" wrapText="1"/>
    </xf>
    <xf numFmtId="0" fontId="0" fillId="0" borderId="28" xfId="0" applyBorder="1" applyAlignment="1">
      <alignment vertical="center"/>
    </xf>
    <xf numFmtId="0" fontId="0" fillId="5" borderId="28" xfId="0" applyFill="1" applyBorder="1"/>
    <xf numFmtId="0" fontId="0" fillId="0" borderId="16" xfId="0" applyBorder="1" applyAlignment="1">
      <alignment horizontal="left" vertical="center" wrapText="1"/>
    </xf>
    <xf numFmtId="0" fontId="0" fillId="5" borderId="16" xfId="0" applyFill="1" applyBorder="1" applyAlignment="1">
      <alignment horizontal="left" vertical="center" wrapText="1"/>
    </xf>
    <xf numFmtId="0" fontId="0" fillId="0" borderId="16" xfId="0" applyBorder="1"/>
    <xf numFmtId="0" fontId="0" fillId="5" borderId="16" xfId="0" applyFill="1" applyBorder="1"/>
    <xf numFmtId="164" fontId="3" fillId="6" borderId="28" xfId="1" applyNumberFormat="1" applyFont="1" applyFill="1" applyBorder="1" applyAlignment="1"/>
    <xf numFmtId="164" fontId="3" fillId="6" borderId="15" xfId="1" applyNumberFormat="1" applyFont="1" applyFill="1" applyBorder="1" applyAlignment="1"/>
    <xf numFmtId="164" fontId="3" fillId="6" borderId="30" xfId="1" applyNumberFormat="1" applyFont="1" applyFill="1" applyBorder="1" applyAlignment="1"/>
    <xf numFmtId="164" fontId="3" fillId="3" borderId="17" xfId="1" applyNumberFormat="1" applyFont="1" applyFill="1" applyBorder="1" applyAlignment="1"/>
    <xf numFmtId="164" fontId="3" fillId="6" borderId="17" xfId="1" applyNumberFormat="1" applyFont="1" applyFill="1" applyBorder="1" applyAlignment="1"/>
    <xf numFmtId="43" fontId="3" fillId="6" borderId="15" xfId="1" applyFont="1" applyFill="1" applyBorder="1" applyAlignment="1"/>
    <xf numFmtId="164" fontId="3" fillId="6" borderId="24" xfId="1" applyNumberFormat="1" applyFont="1" applyFill="1" applyBorder="1" applyAlignment="1"/>
    <xf numFmtId="0" fontId="0" fillId="5" borderId="5" xfId="0" applyFill="1" applyBorder="1"/>
    <xf numFmtId="0" fontId="0" fillId="5" borderId="6" xfId="0" applyFill="1" applyBorder="1"/>
    <xf numFmtId="3" fontId="0" fillId="5" borderId="37" xfId="0" applyNumberFormat="1" applyFill="1" applyBorder="1"/>
    <xf numFmtId="3" fontId="0" fillId="5" borderId="7" xfId="0" applyNumberFormat="1" applyFill="1" applyBorder="1"/>
    <xf numFmtId="42" fontId="1" fillId="5" borderId="5" xfId="2" applyNumberFormat="1" applyFont="1" applyFill="1" applyBorder="1"/>
    <xf numFmtId="42" fontId="1" fillId="5" borderId="7" xfId="2" applyNumberFormat="1" applyFont="1" applyFill="1" applyBorder="1"/>
    <xf numFmtId="42" fontId="0" fillId="5" borderId="7" xfId="0" applyNumberFormat="1" applyFill="1" applyBorder="1"/>
    <xf numFmtId="3" fontId="0" fillId="5" borderId="5" xfId="0" applyNumberFormat="1" applyFill="1" applyBorder="1"/>
    <xf numFmtId="9" fontId="0" fillId="5" borderId="7" xfId="3" applyFont="1" applyFill="1" applyBorder="1"/>
    <xf numFmtId="3" fontId="0" fillId="5" borderId="8" xfId="0" applyNumberFormat="1" applyFill="1" applyBorder="1"/>
    <xf numFmtId="0" fontId="3" fillId="3" borderId="34" xfId="0" applyFont="1" applyFill="1" applyBorder="1"/>
    <xf numFmtId="3" fontId="3" fillId="3" borderId="52" xfId="0" applyNumberFormat="1" applyFont="1" applyFill="1" applyBorder="1"/>
    <xf numFmtId="3" fontId="3" fillId="3" borderId="33" xfId="0" applyNumberFormat="1" applyFont="1" applyFill="1" applyBorder="1"/>
    <xf numFmtId="9" fontId="3" fillId="3" borderId="39" xfId="3" applyFont="1" applyFill="1" applyBorder="1"/>
    <xf numFmtId="42" fontId="3" fillId="3" borderId="31" xfId="0" applyNumberFormat="1" applyFont="1" applyFill="1" applyBorder="1"/>
    <xf numFmtId="42" fontId="3" fillId="3" borderId="33" xfId="0" applyNumberFormat="1" applyFont="1" applyFill="1" applyBorder="1"/>
    <xf numFmtId="9" fontId="3" fillId="3" borderId="34" xfId="3" applyFont="1" applyFill="1" applyBorder="1"/>
    <xf numFmtId="3" fontId="3" fillId="3" borderId="31" xfId="0" applyNumberFormat="1" applyFont="1" applyFill="1" applyBorder="1"/>
    <xf numFmtId="9" fontId="3" fillId="4" borderId="33" xfId="3" applyFont="1" applyFill="1" applyBorder="1"/>
    <xf numFmtId="4" fontId="3" fillId="3" borderId="33" xfId="1" applyNumberFormat="1" applyFont="1" applyFill="1" applyBorder="1" applyAlignment="1"/>
    <xf numFmtId="3" fontId="3" fillId="3" borderId="33" xfId="1" applyNumberFormat="1" applyFont="1" applyFill="1" applyBorder="1" applyAlignment="1"/>
    <xf numFmtId="0" fontId="7" fillId="2" borderId="25" xfId="0" applyFont="1" applyFill="1" applyBorder="1" applyAlignment="1">
      <alignment horizontal="center" vertical="center" wrapText="1"/>
    </xf>
    <xf numFmtId="164" fontId="7" fillId="2" borderId="26" xfId="1" applyNumberFormat="1" applyFont="1" applyFill="1" applyBorder="1" applyAlignment="1">
      <alignment horizontal="center" vertical="center" wrapText="1"/>
    </xf>
    <xf numFmtId="164" fontId="7" fillId="2" borderId="27" xfId="1" applyNumberFormat="1" applyFont="1" applyFill="1" applyBorder="1" applyAlignment="1">
      <alignment horizontal="center" vertical="center" wrapText="1"/>
    </xf>
    <xf numFmtId="164" fontId="7" fillId="2" borderId="0" xfId="1" applyNumberFormat="1" applyFont="1" applyFill="1" applyBorder="1" applyAlignment="1">
      <alignment horizontal="center" vertical="center" wrapText="1"/>
    </xf>
    <xf numFmtId="0" fontId="0" fillId="0" borderId="15" xfId="0" applyBorder="1" applyAlignment="1">
      <alignment wrapText="1"/>
    </xf>
    <xf numFmtId="164" fontId="0" fillId="0" borderId="15" xfId="1" applyNumberFormat="1" applyFont="1" applyBorder="1"/>
    <xf numFmtId="9" fontId="0" fillId="0" borderId="15" xfId="3" applyFont="1" applyBorder="1"/>
    <xf numFmtId="0" fontId="0" fillId="8" borderId="15" xfId="0" applyFill="1" applyBorder="1" applyAlignment="1">
      <alignment wrapText="1"/>
    </xf>
    <xf numFmtId="164" fontId="0" fillId="8" borderId="15" xfId="1" applyNumberFormat="1" applyFont="1" applyFill="1" applyBorder="1"/>
    <xf numFmtId="9" fontId="0" fillId="8" borderId="15" xfId="3" applyFont="1" applyFill="1" applyBorder="1"/>
    <xf numFmtId="0" fontId="3" fillId="0" borderId="36" xfId="0" applyFont="1" applyBorder="1" applyAlignment="1">
      <alignment horizontal="center" wrapText="1"/>
    </xf>
    <xf numFmtId="0" fontId="0" fillId="10" borderId="35" xfId="0" applyFill="1" applyBorder="1"/>
    <xf numFmtId="0" fontId="0" fillId="0" borderId="44" xfId="0" applyBorder="1"/>
    <xf numFmtId="0" fontId="0" fillId="0" borderId="35" xfId="0" applyBorder="1"/>
    <xf numFmtId="0" fontId="3" fillId="0" borderId="24" xfId="0" applyFont="1" applyBorder="1"/>
    <xf numFmtId="0" fontId="0" fillId="0" borderId="54" xfId="0" applyBorder="1"/>
    <xf numFmtId="0" fontId="3" fillId="0" borderId="35" xfId="0" applyFont="1" applyBorder="1"/>
    <xf numFmtId="0" fontId="3" fillId="0" borderId="46" xfId="0" applyFont="1" applyBorder="1"/>
    <xf numFmtId="164" fontId="7" fillId="0" borderId="0" xfId="1" applyNumberFormat="1" applyFont="1" applyFill="1" applyBorder="1" applyAlignment="1">
      <alignment horizontal="center" vertical="center" wrapText="1"/>
    </xf>
    <xf numFmtId="0" fontId="0" fillId="0" borderId="0" xfId="0" applyAlignment="1">
      <alignment wrapText="1"/>
    </xf>
    <xf numFmtId="0" fontId="3" fillId="0" borderId="0" xfId="0" applyFont="1"/>
    <xf numFmtId="0" fontId="17" fillId="0" borderId="0" xfId="7" applyFont="1"/>
    <xf numFmtId="0" fontId="16" fillId="0" borderId="0" xfId="7"/>
    <xf numFmtId="0" fontId="16" fillId="0" borderId="0" xfId="7" applyAlignment="1">
      <alignment vertical="top"/>
    </xf>
    <xf numFmtId="0" fontId="20" fillId="0" borderId="0" xfId="0" applyFont="1"/>
    <xf numFmtId="164" fontId="0" fillId="0" borderId="15" xfId="0" applyNumberFormat="1" applyBorder="1"/>
    <xf numFmtId="0" fontId="7" fillId="0" borderId="0" xfId="0" applyFont="1" applyAlignment="1">
      <alignment horizontal="center" vertical="center" wrapText="1"/>
    </xf>
    <xf numFmtId="10" fontId="0" fillId="0" borderId="0" xfId="3" applyNumberFormat="1" applyFont="1" applyFill="1" applyBorder="1" applyAlignment="1">
      <alignment horizontal="center" vertical="center"/>
    </xf>
    <xf numFmtId="0" fontId="22" fillId="0" borderId="0" xfId="7" applyFont="1" applyAlignment="1">
      <alignment vertical="center"/>
    </xf>
    <xf numFmtId="0" fontId="22" fillId="0" borderId="20" xfId="7" applyFont="1" applyBorder="1" applyAlignment="1">
      <alignment vertical="center"/>
    </xf>
    <xf numFmtId="0" fontId="22" fillId="0" borderId="20" xfId="7" applyFont="1" applyBorder="1" applyAlignment="1">
      <alignment horizontal="center" vertical="center"/>
    </xf>
    <xf numFmtId="0" fontId="22" fillId="0" borderId="0" xfId="7" applyFont="1" applyAlignment="1">
      <alignment horizontal="center" vertical="center"/>
    </xf>
    <xf numFmtId="0" fontId="16" fillId="0" borderId="15" xfId="7" applyBorder="1"/>
    <xf numFmtId="0" fontId="0" fillId="0" borderId="45" xfId="0" applyBorder="1"/>
    <xf numFmtId="0" fontId="0" fillId="0" borderId="1" xfId="0" applyBorder="1"/>
    <xf numFmtId="0" fontId="3" fillId="10" borderId="44" xfId="0" applyFont="1" applyFill="1" applyBorder="1"/>
    <xf numFmtId="0" fontId="0" fillId="0" borderId="42" xfId="0" applyBorder="1"/>
    <xf numFmtId="0" fontId="15" fillId="0" borderId="0" xfId="6" applyFont="1"/>
    <xf numFmtId="0" fontId="0" fillId="0" borderId="58" xfId="0" applyBorder="1" applyAlignment="1">
      <alignment wrapText="1"/>
    </xf>
    <xf numFmtId="0" fontId="3" fillId="0" borderId="58" xfId="0" applyFont="1" applyBorder="1" applyAlignment="1">
      <alignment horizontal="right" wrapText="1"/>
    </xf>
    <xf numFmtId="0" fontId="0" fillId="0" borderId="59" xfId="0" applyBorder="1" applyAlignment="1">
      <alignment wrapText="1"/>
    </xf>
    <xf numFmtId="9" fontId="1" fillId="5" borderId="49" xfId="3" applyFont="1" applyFill="1" applyBorder="1"/>
    <xf numFmtId="9" fontId="1" fillId="5" borderId="27" xfId="3" applyFont="1" applyFill="1" applyBorder="1"/>
    <xf numFmtId="9" fontId="1" fillId="5" borderId="47" xfId="3" applyFont="1" applyFill="1" applyBorder="1"/>
    <xf numFmtId="0" fontId="7" fillId="2" borderId="60" xfId="0" applyFont="1" applyFill="1" applyBorder="1" applyAlignment="1">
      <alignment horizontal="center" vertical="center" wrapText="1"/>
    </xf>
    <xf numFmtId="164" fontId="7" fillId="2" borderId="61" xfId="1" applyNumberFormat="1" applyFont="1" applyFill="1" applyBorder="1" applyAlignment="1">
      <alignment horizontal="center" vertical="center" wrapText="1"/>
    </xf>
    <xf numFmtId="3" fontId="3" fillId="3" borderId="16" xfId="0" applyNumberFormat="1" applyFont="1" applyFill="1" applyBorder="1"/>
    <xf numFmtId="3" fontId="3" fillId="3" borderId="10" xfId="1" applyNumberFormat="1" applyFont="1" applyFill="1" applyBorder="1" applyAlignment="1"/>
    <xf numFmtId="3" fontId="16" fillId="0" borderId="15" xfId="7" applyNumberFormat="1" applyBorder="1"/>
    <xf numFmtId="0" fontId="23" fillId="0" borderId="0" xfId="7" applyFont="1" applyAlignment="1">
      <alignment wrapText="1"/>
    </xf>
    <xf numFmtId="3" fontId="0" fillId="0" borderId="28" xfId="0" applyNumberFormat="1" applyFill="1" applyBorder="1"/>
    <xf numFmtId="3" fontId="0" fillId="0" borderId="15" xfId="0" applyNumberFormat="1" applyFill="1" applyBorder="1"/>
    <xf numFmtId="3" fontId="0" fillId="0" borderId="20" xfId="0" applyNumberFormat="1" applyBorder="1" applyAlignment="1">
      <alignment horizontal="center" vertical="center"/>
    </xf>
    <xf numFmtId="0" fontId="3" fillId="3" borderId="15" xfId="0" applyFont="1" applyFill="1" applyBorder="1" applyAlignment="1">
      <alignment horizontal="center"/>
    </xf>
    <xf numFmtId="3" fontId="0" fillId="0" borderId="15" xfId="0" applyNumberFormat="1" applyBorder="1" applyAlignment="1">
      <alignment horizontal="center" vertical="center"/>
    </xf>
    <xf numFmtId="3" fontId="3" fillId="3" borderId="15" xfId="0" applyNumberFormat="1" applyFont="1" applyFill="1" applyBorder="1" applyAlignment="1">
      <alignment horizontal="center"/>
    </xf>
    <xf numFmtId="0" fontId="0" fillId="0" borderId="15" xfId="0" applyBorder="1" applyAlignment="1">
      <alignment horizontal="center"/>
    </xf>
    <xf numFmtId="44" fontId="0" fillId="0" borderId="15" xfId="2" applyFont="1" applyBorder="1" applyAlignment="1">
      <alignment horizontal="center" vertical="center"/>
    </xf>
    <xf numFmtId="165" fontId="0" fillId="0" borderId="20" xfId="2" applyNumberFormat="1" applyFont="1" applyBorder="1" applyAlignment="1">
      <alignment horizontal="center" vertical="center"/>
    </xf>
    <xf numFmtId="165" fontId="0" fillId="0" borderId="15" xfId="2" applyNumberFormat="1" applyFont="1" applyBorder="1" applyAlignment="1">
      <alignment horizontal="center" vertical="center"/>
    </xf>
    <xf numFmtId="3" fontId="0" fillId="0" borderId="21" xfId="0" applyNumberFormat="1" applyBorder="1" applyAlignment="1">
      <alignment horizontal="center" vertical="center"/>
    </xf>
    <xf numFmtId="3" fontId="0" fillId="0" borderId="16" xfId="0" applyNumberFormat="1" applyBorder="1" applyAlignment="1">
      <alignment horizontal="center" vertical="center"/>
    </xf>
    <xf numFmtId="3" fontId="0" fillId="0" borderId="7" xfId="0" applyNumberFormat="1" applyFill="1" applyBorder="1"/>
    <xf numFmtId="165" fontId="3" fillId="3" borderId="15" xfId="2" applyNumberFormat="1" applyFont="1" applyFill="1" applyBorder="1" applyAlignment="1"/>
    <xf numFmtId="1" fontId="0" fillId="0" borderId="15" xfId="0" applyNumberFormat="1" applyBorder="1" applyAlignment="1">
      <alignment horizontal="center" vertical="center"/>
    </xf>
    <xf numFmtId="3" fontId="0" fillId="2" borderId="15" xfId="0" applyNumberFormat="1" applyFill="1" applyBorder="1" applyAlignment="1">
      <alignment vertical="center" wrapText="1"/>
    </xf>
    <xf numFmtId="3" fontId="0" fillId="0" borderId="15" xfId="0" applyNumberFormat="1" applyBorder="1" applyAlignment="1">
      <alignment horizontal="center"/>
    </xf>
    <xf numFmtId="1" fontId="3" fillId="3" borderId="15" xfId="0" applyNumberFormat="1" applyFont="1" applyFill="1" applyBorder="1" applyAlignment="1">
      <alignment horizontal="center"/>
    </xf>
    <xf numFmtId="165" fontId="3" fillId="3" borderId="15" xfId="2" applyNumberFormat="1" applyFont="1" applyFill="1" applyBorder="1" applyAlignment="1">
      <alignment horizontal="center"/>
    </xf>
    <xf numFmtId="165" fontId="0" fillId="2" borderId="15" xfId="2" applyNumberFormat="1" applyFont="1" applyFill="1" applyBorder="1" applyAlignment="1">
      <alignment horizontal="center" vertical="center" wrapText="1"/>
    </xf>
    <xf numFmtId="165" fontId="0" fillId="0" borderId="15" xfId="2" applyNumberFormat="1" applyFont="1" applyBorder="1" applyAlignment="1">
      <alignment horizontal="center"/>
    </xf>
    <xf numFmtId="165" fontId="3" fillId="3" borderId="42" xfId="2" applyNumberFormat="1" applyFont="1" applyFill="1" applyBorder="1" applyAlignment="1">
      <alignment horizontal="center"/>
    </xf>
    <xf numFmtId="165" fontId="3" fillId="3" borderId="10" xfId="2" applyNumberFormat="1" applyFont="1" applyFill="1" applyBorder="1" applyAlignment="1">
      <alignment horizontal="center"/>
    </xf>
    <xf numFmtId="0" fontId="24" fillId="0" borderId="0" xfId="0" applyFont="1" applyAlignment="1">
      <alignment vertical="center"/>
    </xf>
    <xf numFmtId="3" fontId="3" fillId="3" borderId="15" xfId="1" applyNumberFormat="1" applyFont="1" applyFill="1" applyBorder="1" applyAlignment="1"/>
    <xf numFmtId="3" fontId="0" fillId="0" borderId="17" xfId="0" applyNumberFormat="1" applyBorder="1" applyAlignment="1">
      <alignment vertical="center"/>
    </xf>
    <xf numFmtId="3" fontId="0" fillId="0" borderId="17" xfId="0" applyNumberFormat="1" applyBorder="1" applyAlignment="1"/>
    <xf numFmtId="3" fontId="0" fillId="0" borderId="15" xfId="0" applyNumberFormat="1" applyBorder="1" applyAlignment="1"/>
    <xf numFmtId="0" fontId="0" fillId="5" borderId="63" xfId="0" applyFill="1" applyBorder="1"/>
    <xf numFmtId="0" fontId="0" fillId="0" borderId="30" xfId="0" applyBorder="1" applyAlignment="1">
      <alignment horizontal="left" vertical="center" wrapText="1"/>
    </xf>
    <xf numFmtId="164" fontId="1" fillId="0" borderId="15" xfId="1" applyNumberFormat="1" applyFont="1" applyFill="1" applyBorder="1"/>
    <xf numFmtId="6" fontId="0" fillId="0" borderId="44" xfId="0" applyNumberFormat="1" applyBorder="1" applyAlignment="1">
      <alignment horizontal="right"/>
    </xf>
    <xf numFmtId="6" fontId="0" fillId="0" borderId="0" xfId="0" applyNumberFormat="1" applyAlignment="1">
      <alignment horizontal="right"/>
    </xf>
    <xf numFmtId="6" fontId="0" fillId="0" borderId="35" xfId="0" applyNumberFormat="1" applyBorder="1" applyAlignment="1">
      <alignment horizontal="right"/>
    </xf>
    <xf numFmtId="6" fontId="3" fillId="0" borderId="22" xfId="0" applyNumberFormat="1" applyFont="1" applyBorder="1" applyAlignment="1">
      <alignment horizontal="right"/>
    </xf>
    <xf numFmtId="6" fontId="3" fillId="0" borderId="23" xfId="0" applyNumberFormat="1" applyFont="1" applyBorder="1" applyAlignment="1">
      <alignment horizontal="right"/>
    </xf>
    <xf numFmtId="6" fontId="3" fillId="0" borderId="24" xfId="0" applyNumberFormat="1" applyFont="1" applyBorder="1" applyAlignment="1">
      <alignment horizontal="right"/>
    </xf>
    <xf numFmtId="6" fontId="0" fillId="0" borderId="53" xfId="0" applyNumberFormat="1" applyBorder="1" applyAlignment="1">
      <alignment horizontal="right"/>
    </xf>
    <xf numFmtId="6" fontId="0" fillId="0" borderId="55" xfId="0" applyNumberFormat="1" applyBorder="1" applyAlignment="1">
      <alignment horizontal="right"/>
    </xf>
    <xf numFmtId="6" fontId="0" fillId="0" borderId="54" xfId="0" applyNumberFormat="1" applyBorder="1" applyAlignment="1">
      <alignment horizontal="right"/>
    </xf>
    <xf numFmtId="6" fontId="3" fillId="0" borderId="44" xfId="0" applyNumberFormat="1" applyFont="1" applyBorder="1" applyAlignment="1">
      <alignment horizontal="right"/>
    </xf>
    <xf numFmtId="6" fontId="3" fillId="0" borderId="0" xfId="0" applyNumberFormat="1" applyFont="1" applyAlignment="1">
      <alignment horizontal="right"/>
    </xf>
    <xf numFmtId="6" fontId="3" fillId="0" borderId="35" xfId="0" applyNumberFormat="1" applyFont="1" applyBorder="1" applyAlignment="1">
      <alignment horizontal="right"/>
    </xf>
    <xf numFmtId="4" fontId="3" fillId="0" borderId="42" xfId="0" applyNumberFormat="1" applyFont="1" applyBorder="1" applyAlignment="1">
      <alignment horizontal="right"/>
    </xf>
    <xf numFmtId="4" fontId="3" fillId="0" borderId="38" xfId="0" applyNumberFormat="1" applyFont="1" applyBorder="1" applyAlignment="1">
      <alignment horizontal="right"/>
    </xf>
    <xf numFmtId="4" fontId="3" fillId="0" borderId="46" xfId="0" applyNumberFormat="1" applyFont="1" applyBorder="1" applyAlignment="1">
      <alignment horizontal="right"/>
    </xf>
    <xf numFmtId="6" fontId="0" fillId="0" borderId="22" xfId="0" applyNumberFormat="1" applyBorder="1" applyAlignment="1">
      <alignment horizontal="right"/>
    </xf>
    <xf numFmtId="6" fontId="0" fillId="0" borderId="23" xfId="0" applyNumberFormat="1" applyBorder="1" applyAlignment="1">
      <alignment horizontal="right"/>
    </xf>
    <xf numFmtId="6" fontId="0" fillId="0" borderId="24" xfId="0" applyNumberFormat="1" applyBorder="1" applyAlignment="1">
      <alignment horizontal="right"/>
    </xf>
    <xf numFmtId="4" fontId="3" fillId="0" borderId="22" xfId="0" applyNumberFormat="1" applyFont="1" applyBorder="1" applyAlignment="1">
      <alignment horizontal="right"/>
    </xf>
    <xf numFmtId="4" fontId="3" fillId="0" borderId="23" xfId="0" applyNumberFormat="1" applyFont="1" applyBorder="1" applyAlignment="1">
      <alignment horizontal="right"/>
    </xf>
    <xf numFmtId="4" fontId="3" fillId="0" borderId="24" xfId="0" applyNumberFormat="1" applyFont="1" applyBorder="1" applyAlignment="1">
      <alignment horizontal="right"/>
    </xf>
    <xf numFmtId="6" fontId="0" fillId="0" borderId="0" xfId="0" applyNumberFormat="1"/>
    <xf numFmtId="0" fontId="0" fillId="0" borderId="0" xfId="0" applyAlignment="1">
      <alignment horizontal="center"/>
    </xf>
    <xf numFmtId="0" fontId="3" fillId="0" borderId="45" xfId="0" applyFont="1" applyBorder="1" applyAlignment="1">
      <alignment horizontal="right" wrapText="1"/>
    </xf>
    <xf numFmtId="0" fontId="3" fillId="0" borderId="36" xfId="0" applyFont="1" applyBorder="1" applyAlignment="1">
      <alignment horizontal="right" wrapText="1"/>
    </xf>
    <xf numFmtId="0" fontId="3" fillId="0" borderId="1" xfId="0" applyFont="1" applyBorder="1" applyAlignment="1">
      <alignment horizontal="right" wrapText="1"/>
    </xf>
    <xf numFmtId="0" fontId="0" fillId="0" borderId="36" xfId="0" applyBorder="1" applyAlignment="1">
      <alignment horizontal="center" wrapText="1"/>
    </xf>
    <xf numFmtId="0" fontId="0" fillId="10" borderId="44" xfId="0" applyFill="1" applyBorder="1" applyAlignment="1">
      <alignment horizontal="right"/>
    </xf>
    <xf numFmtId="0" fontId="0" fillId="10" borderId="0" xfId="0" applyFill="1" applyAlignment="1">
      <alignment horizontal="right"/>
    </xf>
    <xf numFmtId="0" fontId="0" fillId="10" borderId="35" xfId="0" applyFill="1" applyBorder="1" applyAlignment="1">
      <alignment horizontal="right"/>
    </xf>
    <xf numFmtId="6" fontId="3" fillId="0" borderId="0" xfId="0" applyNumberFormat="1" applyFont="1"/>
    <xf numFmtId="4" fontId="3" fillId="0" borderId="0" xfId="0" applyNumberFormat="1" applyFont="1"/>
    <xf numFmtId="6" fontId="0" fillId="10" borderId="44" xfId="0" applyNumberFormat="1" applyFill="1" applyBorder="1" applyAlignment="1">
      <alignment horizontal="right"/>
    </xf>
    <xf numFmtId="6" fontId="0" fillId="10" borderId="0" xfId="0" applyNumberFormat="1" applyFill="1" applyAlignment="1">
      <alignment horizontal="right"/>
    </xf>
    <xf numFmtId="6" fontId="0" fillId="10" borderId="35" xfId="0" applyNumberFormat="1" applyFill="1" applyBorder="1" applyAlignment="1">
      <alignment horizontal="right"/>
    </xf>
    <xf numFmtId="4" fontId="0" fillId="0" borderId="0" xfId="0" applyNumberFormat="1"/>
    <xf numFmtId="2" fontId="0" fillId="0" borderId="17" xfId="2" applyNumberFormat="1" applyFont="1" applyBorder="1" applyAlignment="1">
      <alignment horizontal="right"/>
    </xf>
    <xf numFmtId="2" fontId="0" fillId="0" borderId="15" xfId="2" applyNumberFormat="1" applyFont="1" applyBorder="1" applyAlignment="1">
      <alignment horizontal="right"/>
    </xf>
    <xf numFmtId="2" fontId="3" fillId="0" borderId="17" xfId="2" applyNumberFormat="1" applyFont="1" applyBorder="1" applyAlignment="1">
      <alignment horizontal="right"/>
    </xf>
    <xf numFmtId="2" fontId="3" fillId="0" borderId="15" xfId="2" applyNumberFormat="1" applyFont="1" applyBorder="1" applyAlignment="1">
      <alignment horizontal="right"/>
    </xf>
    <xf numFmtId="2" fontId="0" fillId="0" borderId="9" xfId="2" applyNumberFormat="1" applyFont="1" applyBorder="1" applyAlignment="1">
      <alignment horizontal="right"/>
    </xf>
    <xf numFmtId="2" fontId="0" fillId="0" borderId="12" xfId="2" applyNumberFormat="1" applyFont="1" applyBorder="1" applyAlignment="1">
      <alignment horizontal="right"/>
    </xf>
    <xf numFmtId="2" fontId="0" fillId="0" borderId="17" xfId="2" applyNumberFormat="1" applyFont="1" applyBorder="1" applyAlignment="1"/>
    <xf numFmtId="2" fontId="0" fillId="0" borderId="15" xfId="2" applyNumberFormat="1" applyFont="1" applyBorder="1" applyAlignment="1"/>
    <xf numFmtId="2" fontId="0" fillId="0" borderId="15" xfId="3" applyNumberFormat="1" applyFont="1" applyBorder="1" applyAlignment="1">
      <alignment horizontal="center"/>
    </xf>
    <xf numFmtId="2" fontId="0" fillId="0" borderId="16" xfId="3" applyNumberFormat="1" applyFont="1" applyBorder="1" applyAlignment="1">
      <alignment horizontal="center"/>
    </xf>
    <xf numFmtId="2" fontId="0" fillId="0" borderId="15" xfId="3" applyNumberFormat="1" applyFont="1" applyBorder="1" applyAlignment="1">
      <alignment horizontal="right"/>
    </xf>
    <xf numFmtId="2" fontId="0" fillId="0" borderId="16" xfId="3" applyNumberFormat="1" applyFont="1" applyBorder="1" applyAlignment="1">
      <alignment horizontal="right"/>
    </xf>
    <xf numFmtId="2" fontId="3" fillId="0" borderId="17" xfId="2" applyNumberFormat="1" applyFont="1" applyBorder="1" applyAlignment="1"/>
    <xf numFmtId="2" fontId="3" fillId="0" borderId="15" xfId="2" applyNumberFormat="1" applyFont="1" applyBorder="1" applyAlignment="1"/>
    <xf numFmtId="2" fontId="3" fillId="0" borderId="15" xfId="3" applyNumberFormat="1" applyFont="1" applyBorder="1" applyAlignment="1">
      <alignment horizontal="center"/>
    </xf>
    <xf numFmtId="2" fontId="3" fillId="0" borderId="16" xfId="3" applyNumberFormat="1" applyFont="1" applyBorder="1" applyAlignment="1">
      <alignment horizontal="center"/>
    </xf>
    <xf numFmtId="2" fontId="3" fillId="0" borderId="15" xfId="3" applyNumberFormat="1" applyFont="1" applyBorder="1" applyAlignment="1">
      <alignment horizontal="right"/>
    </xf>
    <xf numFmtId="2" fontId="3" fillId="0" borderId="16" xfId="3" applyNumberFormat="1" applyFont="1" applyBorder="1" applyAlignment="1">
      <alignment horizontal="right"/>
    </xf>
    <xf numFmtId="2" fontId="0" fillId="0" borderId="9" xfId="2" applyNumberFormat="1" applyFont="1" applyBorder="1" applyAlignment="1"/>
    <xf numFmtId="2" fontId="0" fillId="0" borderId="12" xfId="2" applyNumberFormat="1" applyFont="1" applyBorder="1" applyAlignment="1"/>
    <xf numFmtId="2" fontId="0" fillId="0" borderId="12" xfId="3" applyNumberFormat="1" applyFont="1" applyBorder="1" applyAlignment="1">
      <alignment horizontal="center"/>
    </xf>
    <xf numFmtId="2" fontId="0" fillId="0" borderId="10" xfId="3" applyNumberFormat="1" applyFont="1" applyBorder="1" applyAlignment="1">
      <alignment horizontal="center"/>
    </xf>
    <xf numFmtId="2" fontId="0" fillId="0" borderId="12" xfId="3" applyNumberFormat="1" applyFont="1" applyBorder="1" applyAlignment="1">
      <alignment horizontal="right"/>
    </xf>
    <xf numFmtId="2" fontId="0" fillId="0" borderId="10" xfId="3" applyNumberFormat="1" applyFont="1" applyBorder="1" applyAlignment="1">
      <alignment horizontal="right"/>
    </xf>
    <xf numFmtId="0" fontId="7" fillId="2" borderId="17" xfId="0" applyFont="1" applyFill="1" applyBorder="1" applyAlignment="1">
      <alignment horizontal="center" wrapText="1"/>
    </xf>
    <xf numFmtId="164" fontId="7" fillId="2" borderId="14" xfId="1" applyNumberFormat="1" applyFont="1" applyFill="1" applyBorder="1" applyAlignment="1">
      <alignment horizontal="center" wrapText="1"/>
    </xf>
    <xf numFmtId="164" fontId="7" fillId="2" borderId="56" xfId="1" applyNumberFormat="1" applyFont="1" applyFill="1" applyBorder="1" applyAlignment="1">
      <alignment horizontal="center" wrapText="1"/>
    </xf>
    <xf numFmtId="164" fontId="7" fillId="2" borderId="30" xfId="1" applyNumberFormat="1" applyFont="1" applyFill="1" applyBorder="1" applyAlignment="1">
      <alignment horizontal="center" wrapText="1"/>
    </xf>
    <xf numFmtId="164" fontId="7" fillId="2" borderId="16" xfId="1" applyNumberFormat="1" applyFont="1" applyFill="1" applyBorder="1" applyAlignment="1">
      <alignment horizontal="center" wrapText="1"/>
    </xf>
    <xf numFmtId="2" fontId="0" fillId="0" borderId="0" xfId="0" applyNumberFormat="1"/>
    <xf numFmtId="1" fontId="0" fillId="0" borderId="17" xfId="0" applyNumberFormat="1" applyBorder="1" applyAlignment="1">
      <alignment vertical="center"/>
    </xf>
    <xf numFmtId="1" fontId="0" fillId="0" borderId="15" xfId="0" applyNumberFormat="1" applyBorder="1" applyAlignment="1">
      <alignment vertical="center"/>
    </xf>
    <xf numFmtId="1" fontId="0" fillId="5" borderId="15" xfId="0" applyNumberFormat="1" applyFill="1" applyBorder="1"/>
    <xf numFmtId="0" fontId="0" fillId="2" borderId="15" xfId="0" applyFill="1" applyBorder="1" applyAlignment="1">
      <alignment horizontal="center" vertical="center" wrapText="1"/>
    </xf>
    <xf numFmtId="44" fontId="0" fillId="2" borderId="15" xfId="2" applyFont="1" applyFill="1" applyBorder="1" applyAlignment="1">
      <alignment horizontal="center" vertical="center" wrapText="1"/>
    </xf>
    <xf numFmtId="0" fontId="0" fillId="2" borderId="16" xfId="0" applyFill="1" applyBorder="1" applyAlignment="1">
      <alignment horizontal="center" vertical="center" wrapText="1"/>
    </xf>
    <xf numFmtId="44" fontId="3" fillId="3" borderId="15" xfId="2" applyFont="1" applyFill="1" applyBorder="1" applyAlignment="1">
      <alignment horizontal="center"/>
    </xf>
    <xf numFmtId="164" fontId="3" fillId="3" borderId="16" xfId="1" applyNumberFormat="1" applyFont="1" applyFill="1" applyBorder="1" applyAlignment="1">
      <alignment horizontal="center"/>
    </xf>
    <xf numFmtId="44" fontId="0" fillId="0" borderId="15" xfId="2" applyFont="1" applyBorder="1" applyAlignment="1">
      <alignment horizontal="center"/>
    </xf>
    <xf numFmtId="42" fontId="0" fillId="0" borderId="15" xfId="2" applyNumberFormat="1" applyFont="1" applyBorder="1" applyAlignment="1">
      <alignment horizontal="center" vertical="center"/>
    </xf>
    <xf numFmtId="164" fontId="3" fillId="6" borderId="31" xfId="1" applyNumberFormat="1" applyFont="1" applyFill="1" applyBorder="1" applyAlignment="1">
      <alignment horizontal="center"/>
    </xf>
    <xf numFmtId="164" fontId="3" fillId="6" borderId="39" xfId="1" applyNumberFormat="1" applyFont="1" applyFill="1" applyBorder="1" applyAlignment="1">
      <alignment horizontal="center"/>
    </xf>
    <xf numFmtId="44" fontId="3" fillId="3" borderId="42" xfId="2" applyFont="1" applyFill="1" applyBorder="1" applyAlignment="1">
      <alignment horizontal="center"/>
    </xf>
    <xf numFmtId="44" fontId="3" fillId="3" borderId="10" xfId="2" applyFont="1" applyFill="1" applyBorder="1" applyAlignment="1">
      <alignment horizontal="center"/>
    </xf>
    <xf numFmtId="164" fontId="3" fillId="6" borderId="34" xfId="1" applyNumberFormat="1" applyFont="1" applyFill="1" applyBorder="1" applyAlignment="1">
      <alignment horizontal="center"/>
    </xf>
    <xf numFmtId="42" fontId="3" fillId="3" borderId="15" xfId="2" applyNumberFormat="1" applyFont="1" applyFill="1" applyBorder="1" applyAlignment="1">
      <alignment horizontal="center"/>
    </xf>
    <xf numFmtId="3" fontId="0" fillId="2" borderId="15" xfId="0" applyNumberFormat="1" applyFill="1" applyBorder="1" applyAlignment="1">
      <alignment horizontal="center" vertical="center" wrapText="1"/>
    </xf>
    <xf numFmtId="3" fontId="3" fillId="6" borderId="31" xfId="1" applyNumberFormat="1" applyFont="1" applyFill="1" applyBorder="1" applyAlignment="1">
      <alignment horizontal="center"/>
    </xf>
    <xf numFmtId="3" fontId="3" fillId="6" borderId="34" xfId="1" applyNumberFormat="1" applyFont="1" applyFill="1" applyBorder="1" applyAlignment="1">
      <alignment horizontal="center"/>
    </xf>
    <xf numFmtId="1" fontId="3" fillId="3" borderId="17" xfId="0" applyNumberFormat="1" applyFont="1" applyFill="1" applyBorder="1"/>
    <xf numFmtId="1" fontId="3" fillId="3" borderId="15" xfId="0" applyNumberFormat="1" applyFont="1" applyFill="1" applyBorder="1"/>
    <xf numFmtId="2" fontId="0" fillId="5" borderId="7" xfId="0" applyNumberFormat="1" applyFill="1" applyBorder="1"/>
    <xf numFmtId="2" fontId="0" fillId="5" borderId="15" xfId="0" applyNumberFormat="1" applyFill="1" applyBorder="1"/>
    <xf numFmtId="2" fontId="3" fillId="3" borderId="15" xfId="0" applyNumberFormat="1" applyFont="1" applyFill="1" applyBorder="1"/>
    <xf numFmtId="2" fontId="0" fillId="2" borderId="15" xfId="0" applyNumberFormat="1" applyFill="1" applyBorder="1" applyAlignment="1">
      <alignment vertical="center" wrapText="1"/>
    </xf>
    <xf numFmtId="2" fontId="3" fillId="3" borderId="15" xfId="1" applyNumberFormat="1" applyFont="1" applyFill="1" applyBorder="1" applyAlignment="1"/>
    <xf numFmtId="3" fontId="0" fillId="5" borderId="26" xfId="0" applyNumberFormat="1" applyFill="1" applyBorder="1"/>
    <xf numFmtId="3" fontId="0" fillId="5" borderId="62" xfId="0" applyNumberFormat="1" applyFill="1" applyBorder="1"/>
    <xf numFmtId="1" fontId="0" fillId="5" borderId="24" xfId="0" applyNumberFormat="1" applyFill="1" applyBorder="1"/>
    <xf numFmtId="1" fontId="3" fillId="3" borderId="16" xfId="0" applyNumberFormat="1" applyFont="1" applyFill="1" applyBorder="1"/>
    <xf numFmtId="1" fontId="0" fillId="2" borderId="15" xfId="0" applyNumberFormat="1" applyFill="1" applyBorder="1" applyAlignment="1">
      <alignment vertical="center" wrapText="1"/>
    </xf>
    <xf numFmtId="1" fontId="0" fillId="2" borderId="24" xfId="0" applyNumberFormat="1" applyFill="1" applyBorder="1" applyAlignment="1">
      <alignment vertical="center" wrapText="1"/>
    </xf>
    <xf numFmtId="1" fontId="3" fillId="3" borderId="15" xfId="1" applyNumberFormat="1" applyFont="1" applyFill="1" applyBorder="1" applyAlignment="1"/>
    <xf numFmtId="1" fontId="3" fillId="3" borderId="24" xfId="1" applyNumberFormat="1" applyFont="1" applyFill="1" applyBorder="1" applyAlignment="1"/>
    <xf numFmtId="1" fontId="0" fillId="0" borderId="20" xfId="0" applyNumberFormat="1" applyBorder="1" applyAlignment="1">
      <alignment horizontal="center" vertical="center"/>
    </xf>
    <xf numFmtId="3" fontId="0" fillId="0" borderId="30" xfId="0" applyNumberFormat="1" applyBorder="1" applyAlignment="1">
      <alignment horizontal="center" vertical="center"/>
    </xf>
    <xf numFmtId="3" fontId="0" fillId="0" borderId="7" xfId="0" applyNumberFormat="1" applyBorder="1" applyAlignment="1">
      <alignment horizontal="center" vertical="center"/>
    </xf>
    <xf numFmtId="3" fontId="3" fillId="3" borderId="16" xfId="1" applyNumberFormat="1" applyFont="1" applyFill="1" applyBorder="1" applyAlignment="1">
      <alignment horizontal="center"/>
    </xf>
    <xf numFmtId="3" fontId="0" fillId="2" borderId="16" xfId="0" applyNumberFormat="1" applyFill="1" applyBorder="1" applyAlignment="1">
      <alignment horizontal="center" vertical="center" wrapText="1"/>
    </xf>
    <xf numFmtId="3" fontId="3" fillId="3" borderId="16" xfId="0" applyNumberFormat="1" applyFont="1" applyFill="1" applyBorder="1" applyAlignment="1">
      <alignment horizontal="center"/>
    </xf>
    <xf numFmtId="44" fontId="0" fillId="0" borderId="0" xfId="0" applyNumberFormat="1"/>
    <xf numFmtId="0" fontId="7" fillId="2" borderId="7" xfId="0" applyFont="1" applyFill="1" applyBorder="1" applyAlignment="1">
      <alignment horizontal="center" vertical="center" wrapText="1"/>
    </xf>
    <xf numFmtId="0" fontId="0" fillId="0" borderId="17" xfId="0" applyBorder="1" applyAlignment="1">
      <alignment horizontal="left" vertical="center" wrapText="1"/>
    </xf>
    <xf numFmtId="0" fontId="6" fillId="7" borderId="4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26" fillId="0" borderId="0" xfId="0" applyFont="1" applyAlignment="1">
      <alignment horizontal="center"/>
    </xf>
    <xf numFmtId="0" fontId="26" fillId="0" borderId="0" xfId="0" applyFont="1"/>
    <xf numFmtId="0" fontId="7" fillId="2" borderId="40" xfId="0" applyFont="1" applyFill="1" applyBorder="1" applyAlignment="1">
      <alignment horizontal="center" vertical="center" wrapText="1"/>
    </xf>
    <xf numFmtId="0" fontId="7" fillId="2" borderId="5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45" xfId="0" applyFont="1" applyFill="1" applyBorder="1" applyAlignment="1">
      <alignment horizontal="center" vertical="center"/>
    </xf>
    <xf numFmtId="0" fontId="6" fillId="7" borderId="36" xfId="0" applyFont="1" applyFill="1" applyBorder="1" applyAlignment="1">
      <alignment horizontal="center" vertical="center"/>
    </xf>
    <xf numFmtId="0" fontId="0" fillId="0" borderId="17" xfId="0" applyBorder="1" applyAlignment="1">
      <alignment horizontal="left" vertical="center" wrapText="1"/>
    </xf>
    <xf numFmtId="0" fontId="6" fillId="2" borderId="38" xfId="0" applyFont="1" applyFill="1" applyBorder="1" applyAlignment="1">
      <alignment horizontal="center" vertical="center"/>
    </xf>
    <xf numFmtId="164" fontId="7" fillId="2" borderId="32" xfId="1" applyNumberFormat="1" applyFont="1" applyFill="1" applyBorder="1" applyAlignment="1">
      <alignment horizontal="center" vertical="center" wrapText="1"/>
    </xf>
    <xf numFmtId="164" fontId="7" fillId="2" borderId="4" xfId="1" applyNumberFormat="1" applyFont="1" applyFill="1" applyBorder="1" applyAlignment="1">
      <alignment horizontal="center" vertical="center" wrapText="1"/>
    </xf>
    <xf numFmtId="164" fontId="7" fillId="7" borderId="2" xfId="1" applyNumberFormat="1" applyFont="1" applyFill="1" applyBorder="1" applyAlignment="1">
      <alignment horizontal="center" vertical="center" wrapText="1"/>
    </xf>
    <xf numFmtId="164" fontId="7" fillId="7" borderId="3" xfId="1"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45" xfId="0" applyFont="1" applyFill="1" applyBorder="1" applyAlignment="1">
      <alignment horizontal="center" vertical="center"/>
    </xf>
    <xf numFmtId="0" fontId="6" fillId="2" borderId="1" xfId="0" applyFont="1" applyFill="1" applyBorder="1" applyAlignment="1">
      <alignment horizontal="center" vertical="center"/>
    </xf>
    <xf numFmtId="164" fontId="7" fillId="2" borderId="38" xfId="1" applyNumberFormat="1" applyFont="1" applyFill="1" applyBorder="1" applyAlignment="1">
      <alignment horizontal="center" vertical="center" wrapText="1"/>
    </xf>
    <xf numFmtId="164" fontId="7" fillId="2" borderId="46" xfId="1" applyNumberFormat="1" applyFont="1" applyFill="1" applyBorder="1" applyAlignment="1">
      <alignment horizontal="center" vertical="center" wrapText="1"/>
    </xf>
    <xf numFmtId="164" fontId="7" fillId="7" borderId="42" xfId="1" applyNumberFormat="1" applyFont="1" applyFill="1" applyBorder="1" applyAlignment="1">
      <alignment horizontal="center" vertical="center" wrapText="1"/>
    </xf>
    <xf numFmtId="164" fontId="7" fillId="7" borderId="46" xfId="1" applyNumberFormat="1" applyFont="1" applyFill="1" applyBorder="1" applyAlignment="1">
      <alignment horizontal="center" vertical="center" wrapText="1"/>
    </xf>
    <xf numFmtId="0" fontId="19" fillId="0" borderId="0" xfId="7" applyFont="1" applyAlignment="1">
      <alignment horizontal="left" vertical="center" wrapText="1"/>
    </xf>
    <xf numFmtId="0" fontId="21" fillId="0" borderId="0" xfId="7" applyFont="1" applyAlignment="1">
      <alignment horizontal="left" vertical="top" wrapText="1"/>
    </xf>
    <xf numFmtId="0" fontId="16" fillId="0" borderId="0" xfId="7" applyAlignment="1">
      <alignment horizontal="left" wrapText="1"/>
    </xf>
    <xf numFmtId="0" fontId="22" fillId="0" borderId="15" xfId="7" applyFont="1" applyBorder="1" applyAlignment="1">
      <alignment horizontal="center" vertical="center"/>
    </xf>
  </cellXfs>
  <cellStyles count="8">
    <cellStyle name="Comma" xfId="1" builtinId="3"/>
    <cellStyle name="Currency" xfId="2" builtinId="4"/>
    <cellStyle name="Normal" xfId="0" builtinId="0"/>
    <cellStyle name="Normal 10 2" xfId="4"/>
    <cellStyle name="Normal 2" xfId="7"/>
    <cellStyle name="Normal_Lookup Sheet" xfId="5"/>
    <cellStyle name="Normal_Revised Exhibit 1_021810_Eberts" xfId="6"/>
    <cellStyle name="Percent" xfId="3" builtinId="5"/>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0</c:v>
                </c:pt>
                <c:pt idx="1">
                  <c:v>0</c:v>
                </c:pt>
              </c:numCache>
            </c:numRef>
          </c:val>
          <c:extLst>
            <c:ext xmlns:c16="http://schemas.microsoft.com/office/drawing/2014/chart" uri="{C3380CC4-5D6E-409C-BE32-E72D297353CC}">
              <c16:uniqueId val="{00000000-26AC-4522-B733-37C986B2703F}"/>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_(* #,##0_);_(* \(#,##0\);_(* "-"??_);_(@_)</c:formatCode>
                <c:ptCount val="2"/>
                <c:pt idx="0">
                  <c:v>0</c:v>
                </c:pt>
                <c:pt idx="1">
                  <c:v>14170</c:v>
                </c:pt>
              </c:numCache>
            </c:numRef>
          </c:val>
          <c:extLst>
            <c:ext xmlns:c16="http://schemas.microsoft.com/office/drawing/2014/chart" uri="{C3380CC4-5D6E-409C-BE32-E72D297353CC}">
              <c16:uniqueId val="{00000000-8EF9-4844-BB90-B5EC72560195}"/>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636954</xdr:colOff>
      <xdr:row>18</xdr:row>
      <xdr:rowOff>58369</xdr:rowOff>
    </xdr:from>
    <xdr:to>
      <xdr:col>12</xdr:col>
      <xdr:colOff>622300</xdr:colOff>
      <xdr:row>32</xdr:row>
      <xdr:rowOff>123824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nsolidatededison-my.sharepoint.com/Users/MadnickP/AppData/Local/Microsoft/Windows/INetCache/Content.Outlook/0SPMWYRP/RECO%20PY1%20Annual%20Report_AEG%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8"/>
      <sheetName val="Tables 2-6"/>
      <sheetName val="AP H - CostTest"/>
      <sheetName val="AP F - Secondary Metrics"/>
      <sheetName val="Program-Level"/>
      <sheetName val="Measure Level"/>
    </sheetNames>
    <sheetDataSet>
      <sheetData sheetId="0" refreshError="1"/>
      <sheetData sheetId="1" refreshError="1"/>
      <sheetData sheetId="2">
        <row r="3">
          <cell r="I3" t="str">
            <v>Residential Efficient Products</v>
          </cell>
          <cell r="J3" t="str">
            <v>Home Performance with Energy Star</v>
          </cell>
          <cell r="K3" t="str">
            <v>Multi-Family</v>
          </cell>
          <cell r="L3" t="str">
            <v>Small Business Direct Install</v>
          </cell>
          <cell r="M3" t="str">
            <v>Commercial and Industrial Rebate</v>
          </cell>
          <cell r="N3" t="str">
            <v>EE Portfolio</v>
          </cell>
          <cell r="O3" t="str">
            <v>Peak Demand Reduction</v>
          </cell>
          <cell r="P3" t="str">
            <v>Clean Heat Beneficial Electrification</v>
          </cell>
        </row>
        <row r="18">
          <cell r="I18">
            <v>2.4086285288605405</v>
          </cell>
          <cell r="J18">
            <v>0</v>
          </cell>
          <cell r="K18">
            <v>0</v>
          </cell>
          <cell r="L18">
            <v>0</v>
          </cell>
          <cell r="M18">
            <v>0.90520872376124006</v>
          </cell>
          <cell r="N18">
            <v>1.3135069968930413</v>
          </cell>
          <cell r="O18">
            <v>2.2727952606399007</v>
          </cell>
          <cell r="P18">
            <v>0</v>
          </cell>
        </row>
        <row r="23">
          <cell r="I23">
            <v>6.3205825406110376</v>
          </cell>
          <cell r="J23" t="str">
            <v>n/a</v>
          </cell>
          <cell r="K23" t="str">
            <v>n/a</v>
          </cell>
          <cell r="L23" t="str">
            <v>n/a</v>
          </cell>
          <cell r="M23">
            <v>2.537699945126946</v>
          </cell>
          <cell r="N23">
            <v>4.4017843866025563</v>
          </cell>
          <cell r="O23" t="str">
            <v>n/a</v>
          </cell>
          <cell r="P23" t="str">
            <v>n/a</v>
          </cell>
        </row>
        <row r="26">
          <cell r="I26">
            <v>2.9899102965454203</v>
          </cell>
          <cell r="J26">
            <v>0</v>
          </cell>
          <cell r="K26">
            <v>0</v>
          </cell>
          <cell r="L26">
            <v>0</v>
          </cell>
          <cell r="M26">
            <v>0.94920682090481734</v>
          </cell>
          <cell r="N26">
            <v>1.4550922445262884</v>
          </cell>
          <cell r="O26">
            <v>0.95239609503635125</v>
          </cell>
          <cell r="P26">
            <v>0</v>
          </cell>
        </row>
        <row r="31">
          <cell r="I31">
            <v>1.0192134266388655</v>
          </cell>
          <cell r="J31">
            <v>0</v>
          </cell>
          <cell r="K31">
            <v>0</v>
          </cell>
          <cell r="L31">
            <v>0</v>
          </cell>
          <cell r="M31">
            <v>0.58839632536577424</v>
          </cell>
          <cell r="N31">
            <v>0.74974758935342989</v>
          </cell>
          <cell r="O31">
            <v>0.95239609503635125</v>
          </cell>
          <cell r="P31">
            <v>0</v>
          </cell>
        </row>
        <row r="49">
          <cell r="I49">
            <v>4.2727175003539024</v>
          </cell>
          <cell r="J49">
            <v>0</v>
          </cell>
          <cell r="K49">
            <v>0</v>
          </cell>
          <cell r="L49">
            <v>0</v>
          </cell>
          <cell r="M49">
            <v>1.6050931641743253</v>
          </cell>
          <cell r="N49">
            <v>2.329837489368618</v>
          </cell>
          <cell r="O49">
            <v>2.3864350236718956</v>
          </cell>
          <cell r="P49">
            <v>0</v>
          </cell>
        </row>
      </sheetData>
      <sheetData sheetId="3" refreshError="1"/>
      <sheetData sheetId="4">
        <row r="25">
          <cell r="AA25">
            <v>4.2442190830189226</v>
          </cell>
        </row>
        <row r="26">
          <cell r="AA26">
            <v>0</v>
          </cell>
        </row>
        <row r="27">
          <cell r="AA27">
            <v>0</v>
          </cell>
        </row>
        <row r="28">
          <cell r="AA28">
            <v>0</v>
          </cell>
        </row>
        <row r="29">
          <cell r="AA29">
            <v>1.7225757524762311</v>
          </cell>
        </row>
        <row r="30">
          <cell r="AA30">
            <v>2.3719007261856615</v>
          </cell>
        </row>
        <row r="31">
          <cell r="AA31">
            <v>2.3864331084442165</v>
          </cell>
        </row>
        <row r="32">
          <cell r="AA32">
            <v>0</v>
          </cell>
        </row>
      </sheetData>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V12"/>
  <sheetViews>
    <sheetView zoomScaleNormal="100" workbookViewId="0">
      <selection activeCell="L27" sqref="L27"/>
    </sheetView>
  </sheetViews>
  <sheetFormatPr defaultRowHeight="14.5"/>
  <cols>
    <col min="1" max="1" width="4.7265625" customWidth="1"/>
    <col min="2" max="2" width="34.7265625" customWidth="1"/>
    <col min="3" max="14" width="9.54296875" customWidth="1"/>
  </cols>
  <sheetData>
    <row r="1" spans="1:22">
      <c r="A1" s="191"/>
      <c r="B1" s="191"/>
      <c r="C1" s="191"/>
    </row>
    <row r="2" spans="1:22" ht="15" thickBot="1">
      <c r="A2" s="191"/>
      <c r="B2" t="s">
        <v>16</v>
      </c>
    </row>
    <row r="3" spans="1:22">
      <c r="A3" s="191"/>
      <c r="B3" s="366" t="s">
        <v>17</v>
      </c>
      <c r="C3" s="368" t="s">
        <v>18</v>
      </c>
      <c r="D3" s="369"/>
      <c r="E3" s="369"/>
      <c r="F3" s="369"/>
      <c r="G3" s="369"/>
      <c r="H3" s="370"/>
      <c r="I3" s="368" t="s">
        <v>19</v>
      </c>
      <c r="J3" s="369"/>
      <c r="K3" s="369"/>
      <c r="L3" s="369"/>
      <c r="M3" s="369"/>
      <c r="N3" s="370"/>
    </row>
    <row r="4" spans="1:22">
      <c r="A4" s="191"/>
      <c r="B4" s="367"/>
      <c r="C4" s="313" t="s">
        <v>20</v>
      </c>
      <c r="D4" s="314" t="s">
        <v>21</v>
      </c>
      <c r="E4" s="314" t="s">
        <v>22</v>
      </c>
      <c r="F4" s="315" t="s">
        <v>23</v>
      </c>
      <c r="G4" s="316" t="s">
        <v>24</v>
      </c>
      <c r="H4" s="317" t="s">
        <v>25</v>
      </c>
      <c r="I4" s="313" t="s">
        <v>20</v>
      </c>
      <c r="J4" s="314" t="s">
        <v>21</v>
      </c>
      <c r="K4" s="314" t="s">
        <v>22</v>
      </c>
      <c r="L4" s="315" t="s">
        <v>23</v>
      </c>
      <c r="M4" s="316" t="s">
        <v>24</v>
      </c>
      <c r="N4" s="317" t="s">
        <v>25</v>
      </c>
    </row>
    <row r="5" spans="1:22">
      <c r="B5" s="210" t="s">
        <v>11</v>
      </c>
      <c r="C5" s="295">
        <v>4.05</v>
      </c>
      <c r="D5" s="296">
        <v>5.74</v>
      </c>
      <c r="E5" s="296">
        <v>2.15</v>
      </c>
      <c r="F5" s="297">
        <v>0.67</v>
      </c>
      <c r="G5" s="297">
        <v>2.14</v>
      </c>
      <c r="H5" s="298">
        <v>3.95</v>
      </c>
      <c r="I5" s="289">
        <f>INDEX('[1]AP H - CostTest'!$I$49:$P$49,MATCH($B5,'[1]AP H - CostTest'!$I$3:$P$3,0))</f>
        <v>4.2727175003539024</v>
      </c>
      <c r="J5" s="290">
        <f>INDEX('[1]AP H - CostTest'!$I$23:$P$23,MATCH($B5,'[1]AP H - CostTest'!$I$3:$P$3,0))</f>
        <v>6.3205825406110376</v>
      </c>
      <c r="K5" s="290">
        <f>INDEX('[1]AP H - CostTest'!$I$26:$P$26,MATCH($B5,'[1]AP H - CostTest'!$I$3:$P$3,0))</f>
        <v>2.9899102965454203</v>
      </c>
      <c r="L5" s="299">
        <f>INDEX('[1]AP H - CostTest'!$I$31:$P$31,MATCH($B5,'[1]AP H - CostTest'!$I$3:$P$3,0))</f>
        <v>1.0192134266388655</v>
      </c>
      <c r="M5" s="299">
        <f>INDEX('[1]AP H - CostTest'!$I$18:$P$18,MATCH($B5,'[1]AP H - CostTest'!$I$3:$P$3,0))</f>
        <v>2.4086285288605405</v>
      </c>
      <c r="N5" s="300">
        <f>'[1]Program-Level'!AA25</f>
        <v>4.2442190830189226</v>
      </c>
      <c r="P5" s="318"/>
      <c r="Q5" s="318"/>
      <c r="R5" s="318"/>
      <c r="S5" s="318"/>
      <c r="T5" s="318"/>
      <c r="U5" s="318"/>
      <c r="V5" s="318"/>
    </row>
    <row r="6" spans="1:22">
      <c r="B6" s="210" t="s">
        <v>26</v>
      </c>
      <c r="C6" s="295">
        <v>0.71</v>
      </c>
      <c r="D6" s="296">
        <v>0.17</v>
      </c>
      <c r="E6" s="296">
        <v>1.29</v>
      </c>
      <c r="F6" s="297">
        <v>0.61</v>
      </c>
      <c r="G6" s="297">
        <v>0.36</v>
      </c>
      <c r="H6" s="298">
        <v>0.7</v>
      </c>
      <c r="I6" s="289">
        <f>INDEX('[1]AP H - CostTest'!$I$49:$P$49,MATCH($B6,'[1]AP H - CostTest'!$I$3:$P$3,0))</f>
        <v>0</v>
      </c>
      <c r="J6" s="290" t="str">
        <f>INDEX('[1]AP H - CostTest'!$I$23:$P$23,MATCH($B6,'[1]AP H - CostTest'!$I$3:$P$3,0))</f>
        <v>n/a</v>
      </c>
      <c r="K6" s="290">
        <f>INDEX('[1]AP H - CostTest'!$I$26:$P$26,MATCH($B6,'[1]AP H - CostTest'!$I$3:$P$3,0))</f>
        <v>0</v>
      </c>
      <c r="L6" s="299">
        <f>INDEX('[1]AP H - CostTest'!$I$31:$P$31,MATCH($B6,'[1]AP H - CostTest'!$I$3:$P$3,0))</f>
        <v>0</v>
      </c>
      <c r="M6" s="299">
        <f>INDEX('[1]AP H - CostTest'!$I$18:$P$18,MATCH($B6,'[1]AP H - CostTest'!$I$3:$P$3,0))</f>
        <v>0</v>
      </c>
      <c r="N6" s="300">
        <f>'[1]Program-Level'!AA26</f>
        <v>0</v>
      </c>
      <c r="P6" s="318"/>
      <c r="Q6" s="318"/>
      <c r="R6" s="318"/>
      <c r="S6" s="318"/>
      <c r="T6" s="318"/>
      <c r="U6" s="318"/>
    </row>
    <row r="7" spans="1:22">
      <c r="B7" s="210" t="s">
        <v>13</v>
      </c>
      <c r="C7" s="295">
        <v>1.19</v>
      </c>
      <c r="D7" s="296">
        <v>1.82</v>
      </c>
      <c r="E7" s="296">
        <v>0.25</v>
      </c>
      <c r="F7" s="297">
        <v>0.19</v>
      </c>
      <c r="G7" s="297">
        <v>0.56999999999999995</v>
      </c>
      <c r="H7" s="298">
        <v>1.18</v>
      </c>
      <c r="I7" s="289">
        <f>INDEX('[1]AP H - CostTest'!$I$49:$P$49,MATCH($B7,'[1]AP H - CostTest'!$I$3:$P$3,0))</f>
        <v>0</v>
      </c>
      <c r="J7" s="290" t="str">
        <f>INDEX('[1]AP H - CostTest'!$I$23:$P$23,MATCH($B7,'[1]AP H - CostTest'!$I$3:$P$3,0))</f>
        <v>n/a</v>
      </c>
      <c r="K7" s="290">
        <f>INDEX('[1]AP H - CostTest'!$I$26:$P$26,MATCH($B7,'[1]AP H - CostTest'!$I$3:$P$3,0))</f>
        <v>0</v>
      </c>
      <c r="L7" s="299">
        <f>INDEX('[1]AP H - CostTest'!$I$31:$P$31,MATCH($B7,'[1]AP H - CostTest'!$I$3:$P$3,0))</f>
        <v>0</v>
      </c>
      <c r="M7" s="299">
        <f>INDEX('[1]AP H - CostTest'!$I$18:$P$18,MATCH($B7,'[1]AP H - CostTest'!$I$3:$P$3,0))</f>
        <v>0</v>
      </c>
      <c r="N7" s="300">
        <f>'[1]Program-Level'!AA27</f>
        <v>0</v>
      </c>
      <c r="P7" s="318"/>
      <c r="Q7" s="318"/>
      <c r="R7" s="318"/>
      <c r="S7" s="318"/>
      <c r="T7" s="318"/>
      <c r="U7" s="318"/>
    </row>
    <row r="8" spans="1:22">
      <c r="B8" s="210" t="s">
        <v>27</v>
      </c>
      <c r="C8" s="295">
        <v>2.1</v>
      </c>
      <c r="D8" s="296">
        <v>2.4</v>
      </c>
      <c r="E8" s="296">
        <v>1.04</v>
      </c>
      <c r="F8" s="297">
        <v>0.44</v>
      </c>
      <c r="G8" s="297">
        <v>1.1100000000000001</v>
      </c>
      <c r="H8" s="298">
        <v>2.04</v>
      </c>
      <c r="I8" s="289">
        <f>INDEX('[1]AP H - CostTest'!$I$49:$P$49,MATCH($B8,'[1]AP H - CostTest'!$I$3:$P$3,0))</f>
        <v>0</v>
      </c>
      <c r="J8" s="290" t="str">
        <f>INDEX('[1]AP H - CostTest'!$I$23:$P$23,MATCH($B8,'[1]AP H - CostTest'!$I$3:$P$3,0))</f>
        <v>n/a</v>
      </c>
      <c r="K8" s="290">
        <f>INDEX('[1]AP H - CostTest'!$I$26:$P$26,MATCH($B8,'[1]AP H - CostTest'!$I$3:$P$3,0))</f>
        <v>0</v>
      </c>
      <c r="L8" s="299">
        <f>INDEX('[1]AP H - CostTest'!$I$31:$P$31,MATCH($B8,'[1]AP H - CostTest'!$I$3:$P$3,0))</f>
        <v>0</v>
      </c>
      <c r="M8" s="299">
        <f>INDEX('[1]AP H - CostTest'!$I$18:$P$18,MATCH($B8,'[1]AP H - CostTest'!$I$3:$P$3,0))</f>
        <v>0</v>
      </c>
      <c r="N8" s="300">
        <f>'[1]Program-Level'!AA28</f>
        <v>0</v>
      </c>
      <c r="P8" s="318"/>
      <c r="Q8" s="318"/>
      <c r="R8" s="318"/>
      <c r="S8" s="318"/>
      <c r="T8" s="318"/>
      <c r="U8" s="318"/>
    </row>
    <row r="9" spans="1:22">
      <c r="B9" s="210" t="s">
        <v>28</v>
      </c>
      <c r="C9" s="295">
        <v>2.58</v>
      </c>
      <c r="D9" s="296">
        <v>2.98</v>
      </c>
      <c r="E9" s="296">
        <v>2.1800000000000002</v>
      </c>
      <c r="F9" s="297">
        <v>0.68</v>
      </c>
      <c r="G9" s="297">
        <v>1.51</v>
      </c>
      <c r="H9" s="298">
        <v>2.5</v>
      </c>
      <c r="I9" s="289">
        <f>INDEX('[1]AP H - CostTest'!$I$49:$P$49,MATCH($B9,'[1]AP H - CostTest'!$I$3:$P$3,0))</f>
        <v>1.6050931641743253</v>
      </c>
      <c r="J9" s="290">
        <f>INDEX('[1]AP H - CostTest'!$I$23:$P$23,MATCH($B9,'[1]AP H - CostTest'!$I$3:$P$3,0))</f>
        <v>2.537699945126946</v>
      </c>
      <c r="K9" s="290">
        <f>INDEX('[1]AP H - CostTest'!$I$26:$P$26,MATCH($B9,'[1]AP H - CostTest'!$I$3:$P$3,0))</f>
        <v>0.94920682090481734</v>
      </c>
      <c r="L9" s="299">
        <f>INDEX('[1]AP H - CostTest'!$I$31:$P$31,MATCH($B9,'[1]AP H - CostTest'!$I$3:$P$3,0))</f>
        <v>0.58839632536577424</v>
      </c>
      <c r="M9" s="299">
        <f>INDEX('[1]AP H - CostTest'!$I$18:$P$18,MATCH($B9,'[1]AP H - CostTest'!$I$3:$P$3,0))</f>
        <v>0.90520872376124006</v>
      </c>
      <c r="N9" s="300">
        <f>'[1]Program-Level'!AA29</f>
        <v>1.7225757524762311</v>
      </c>
      <c r="P9" s="318"/>
      <c r="Q9" s="318"/>
      <c r="R9" s="318"/>
      <c r="S9" s="318"/>
      <c r="T9" s="318"/>
      <c r="U9" s="318"/>
    </row>
    <row r="10" spans="1:22">
      <c r="B10" s="211" t="s">
        <v>29</v>
      </c>
      <c r="C10" s="301">
        <v>1.58</v>
      </c>
      <c r="D10" s="302">
        <v>1.2</v>
      </c>
      <c r="E10" s="302">
        <v>1.56</v>
      </c>
      <c r="F10" s="303">
        <v>0.59</v>
      </c>
      <c r="G10" s="303">
        <v>0.84</v>
      </c>
      <c r="H10" s="304">
        <v>1.54</v>
      </c>
      <c r="I10" s="291">
        <f>INDEX('[1]AP H - CostTest'!$I$49:$P$49,MATCH($B10,'[1]AP H - CostTest'!$I$3:$P$3,0))</f>
        <v>2.329837489368618</v>
      </c>
      <c r="J10" s="292">
        <f>INDEX('[1]AP H - CostTest'!$I$23:$P$23,MATCH($B10,'[1]AP H - CostTest'!$I$3:$P$3,0))</f>
        <v>4.4017843866025563</v>
      </c>
      <c r="K10" s="292">
        <f>INDEX('[1]AP H - CostTest'!$I$26:$P$26,MATCH($B10,'[1]AP H - CostTest'!$I$3:$P$3,0))</f>
        <v>1.4550922445262884</v>
      </c>
      <c r="L10" s="305">
        <f>INDEX('[1]AP H - CostTest'!$I$31:$P$31,MATCH($B10,'[1]AP H - CostTest'!$I$3:$P$3,0))</f>
        <v>0.74974758935342989</v>
      </c>
      <c r="M10" s="305">
        <f>INDEX('[1]AP H - CostTest'!$I$18:$P$18,MATCH($B10,'[1]AP H - CostTest'!$I$3:$P$3,0))</f>
        <v>1.3135069968930413</v>
      </c>
      <c r="N10" s="306">
        <f>'[1]Program-Level'!AA30</f>
        <v>2.3719007261856615</v>
      </c>
      <c r="P10" s="318"/>
      <c r="Q10" s="318"/>
      <c r="R10" s="318"/>
      <c r="S10" s="318"/>
      <c r="T10" s="318"/>
      <c r="U10" s="318"/>
    </row>
    <row r="11" spans="1:22">
      <c r="B11" s="210" t="s">
        <v>5</v>
      </c>
      <c r="C11" s="295">
        <v>2.0699999999999998</v>
      </c>
      <c r="D11" s="296">
        <v>1</v>
      </c>
      <c r="E11" s="296">
        <v>1.97</v>
      </c>
      <c r="F11" s="297">
        <v>1.97</v>
      </c>
      <c r="G11" s="297">
        <v>1.97</v>
      </c>
      <c r="H11" s="298">
        <v>2.0699999999999998</v>
      </c>
      <c r="I11" s="289">
        <f>INDEX('[1]AP H - CostTest'!$I$49:$P$49,MATCH($B11,'[1]AP H - CostTest'!$I$3:$P$3,0))</f>
        <v>2.3864350236718956</v>
      </c>
      <c r="J11" s="290" t="str">
        <f>INDEX('[1]AP H - CostTest'!$I$23:$P$23,MATCH($B11,'[1]AP H - CostTest'!$I$3:$P$3,0))</f>
        <v>n/a</v>
      </c>
      <c r="K11" s="290">
        <f>INDEX('[1]AP H - CostTest'!$I$26:$P$26,MATCH($B11,'[1]AP H - CostTest'!$I$3:$P$3,0))</f>
        <v>0.95239609503635125</v>
      </c>
      <c r="L11" s="299">
        <f>INDEX('[1]AP H - CostTest'!$I$31:$P$31,MATCH($B11,'[1]AP H - CostTest'!$I$3:$P$3,0))</f>
        <v>0.95239609503635125</v>
      </c>
      <c r="M11" s="299">
        <f>INDEX('[1]AP H - CostTest'!$I$18:$P$18,MATCH($B11,'[1]AP H - CostTest'!$I$3:$P$3,0))</f>
        <v>2.2727952606399007</v>
      </c>
      <c r="N11" s="300">
        <f>'[1]Program-Level'!AA31</f>
        <v>2.3864331084442165</v>
      </c>
      <c r="P11" s="318"/>
      <c r="Q11" s="318"/>
      <c r="R11" s="318"/>
      <c r="S11" s="318"/>
      <c r="T11" s="318"/>
      <c r="U11" s="318"/>
    </row>
    <row r="12" spans="1:22" ht="15" thickBot="1">
      <c r="B12" s="212" t="s">
        <v>2</v>
      </c>
      <c r="C12" s="307">
        <v>1.17</v>
      </c>
      <c r="D12" s="308">
        <v>4.3499999999999996</v>
      </c>
      <c r="E12" s="308">
        <v>0.08</v>
      </c>
      <c r="F12" s="309">
        <v>0.08</v>
      </c>
      <c r="G12" s="309">
        <v>0.63</v>
      </c>
      <c r="H12" s="310">
        <v>1.17</v>
      </c>
      <c r="I12" s="293">
        <f>INDEX('[1]AP H - CostTest'!$I$49:$P$49,MATCH($B12,'[1]AP H - CostTest'!$I$3:$P$3,0))</f>
        <v>0</v>
      </c>
      <c r="J12" s="294" t="str">
        <f>INDEX('[1]AP H - CostTest'!$I$23:$P$23,MATCH($B12,'[1]AP H - CostTest'!$I$3:$P$3,0))</f>
        <v>n/a</v>
      </c>
      <c r="K12" s="294">
        <f>INDEX('[1]AP H - CostTest'!$I$26:$P$26,MATCH($B12,'[1]AP H - CostTest'!$I$3:$P$3,0))</f>
        <v>0</v>
      </c>
      <c r="L12" s="311">
        <f>INDEX('[1]AP H - CostTest'!$I$31:$P$31,MATCH($B12,'[1]AP H - CostTest'!$I$3:$P$3,0))</f>
        <v>0</v>
      </c>
      <c r="M12" s="311">
        <f>INDEX('[1]AP H - CostTest'!$I$18:$P$18,MATCH($B12,'[1]AP H - CostTest'!$I$3:$P$3,0))</f>
        <v>0</v>
      </c>
      <c r="N12" s="312">
        <f>'[1]Program-Level'!AA32</f>
        <v>0</v>
      </c>
      <c r="P12" s="318"/>
      <c r="Q12" s="318"/>
      <c r="R12" s="318"/>
      <c r="S12" s="318"/>
      <c r="T12" s="318"/>
      <c r="U12" s="318"/>
    </row>
  </sheetData>
  <mergeCells count="3">
    <mergeCell ref="B3:B4"/>
    <mergeCell ref="C3:H3"/>
    <mergeCell ref="I3:N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M35"/>
  <sheetViews>
    <sheetView tabSelected="1" zoomScale="90" zoomScaleNormal="90" zoomScaleSheetLayoutView="90" workbookViewId="0">
      <pane xSplit="3" topLeftCell="D1" activePane="topRight" state="frozen"/>
      <selection pane="topRight" activeCell="C2" sqref="C2"/>
    </sheetView>
  </sheetViews>
  <sheetFormatPr defaultColWidth="9.453125" defaultRowHeight="14.5"/>
  <cols>
    <col min="1" max="1" width="4.453125" customWidth="1"/>
    <col min="2" max="2" width="34.81640625" customWidth="1"/>
    <col min="3" max="3" width="66" customWidth="1"/>
    <col min="4" max="13" width="13.54296875" customWidth="1"/>
    <col min="14" max="16" width="14.54296875" style="2" customWidth="1"/>
    <col min="17" max="17" width="14.54296875" style="3" customWidth="1"/>
    <col min="18" max="18" width="14.54296875" customWidth="1"/>
    <col min="19" max="19" width="15.26953125" customWidth="1"/>
    <col min="20" max="20" width="6.54296875" style="4" customWidth="1"/>
    <col min="21" max="22" width="16.453125" customWidth="1"/>
    <col min="23" max="24" width="15.54296875" style="2" customWidth="1"/>
    <col min="25" max="25" width="13.54296875" customWidth="1"/>
    <col min="29" max="29" width="9.453125" customWidth="1"/>
  </cols>
  <sheetData>
    <row r="1" spans="1:39" ht="23.5">
      <c r="A1" s="1" t="s">
        <v>35</v>
      </c>
      <c r="T1" s="36"/>
      <c r="W1" s="35"/>
      <c r="X1" s="35"/>
    </row>
    <row r="2" spans="1:39">
      <c r="T2" s="36"/>
      <c r="W2" s="35"/>
      <c r="X2" s="35"/>
    </row>
    <row r="3" spans="1:39" ht="19" thickBot="1">
      <c r="A3" s="5"/>
      <c r="B3" s="5" t="s">
        <v>36</v>
      </c>
      <c r="C3" s="5"/>
      <c r="D3" s="5"/>
      <c r="E3" s="5"/>
      <c r="F3" s="5"/>
      <c r="G3" s="5"/>
      <c r="H3" s="5"/>
      <c r="I3" s="5"/>
      <c r="J3" s="5"/>
      <c r="K3" s="5"/>
      <c r="L3" s="5"/>
      <c r="M3" s="5"/>
      <c r="Q3" s="14"/>
      <c r="T3" s="45"/>
      <c r="W3" s="35"/>
      <c r="X3" s="35"/>
    </row>
    <row r="4" spans="1:39" ht="43.4" customHeight="1" thickBot="1">
      <c r="A4" t="s">
        <v>37</v>
      </c>
      <c r="B4" s="362"/>
      <c r="C4" s="30"/>
      <c r="D4" s="371" t="s">
        <v>10</v>
      </c>
      <c r="E4" s="371"/>
      <c r="F4" s="371"/>
      <c r="G4" s="372"/>
      <c r="H4" s="373" t="s">
        <v>38</v>
      </c>
      <c r="I4" s="374"/>
      <c r="J4" s="374"/>
      <c r="K4" s="374"/>
      <c r="L4" s="376" t="s">
        <v>39</v>
      </c>
      <c r="M4" s="376"/>
      <c r="N4" s="376"/>
      <c r="O4" s="376"/>
      <c r="P4" s="376"/>
      <c r="Q4" s="376"/>
      <c r="R4" s="376"/>
      <c r="S4" s="376"/>
      <c r="T4" s="36"/>
      <c r="V4" s="43" t="s">
        <v>10</v>
      </c>
      <c r="W4" s="43"/>
      <c r="X4" s="43"/>
    </row>
    <row r="5" spans="1:39" ht="21" customHeight="1">
      <c r="B5" s="362"/>
      <c r="C5" s="30"/>
      <c r="D5" s="87" t="s">
        <v>40</v>
      </c>
      <c r="E5" s="360" t="s">
        <v>41</v>
      </c>
      <c r="F5" s="360" t="s">
        <v>42</v>
      </c>
      <c r="G5" s="360" t="s">
        <v>43</v>
      </c>
      <c r="H5" s="26" t="s">
        <v>44</v>
      </c>
      <c r="I5" s="27" t="s">
        <v>45</v>
      </c>
      <c r="J5" s="27" t="s">
        <v>46</v>
      </c>
      <c r="K5" s="27" t="s">
        <v>47</v>
      </c>
      <c r="L5" s="23" t="s">
        <v>48</v>
      </c>
      <c r="M5" s="216" t="s">
        <v>49</v>
      </c>
      <c r="N5" s="360" t="s">
        <v>50</v>
      </c>
      <c r="O5" s="23" t="s">
        <v>51</v>
      </c>
      <c r="P5" s="23" t="s">
        <v>52</v>
      </c>
      <c r="Q5" s="360" t="s">
        <v>53</v>
      </c>
      <c r="R5" s="360" t="s">
        <v>54</v>
      </c>
      <c r="S5" s="6" t="s">
        <v>55</v>
      </c>
      <c r="T5" s="36"/>
      <c r="W5" s="35"/>
      <c r="X5" s="35"/>
    </row>
    <row r="6" spans="1:39" ht="52.5" customHeight="1" thickBot="1">
      <c r="B6" s="56"/>
      <c r="C6" s="31"/>
      <c r="D6" s="88" t="s">
        <v>56</v>
      </c>
      <c r="E6" s="89" t="s">
        <v>57</v>
      </c>
      <c r="F6" s="89" t="s">
        <v>58</v>
      </c>
      <c r="G6" s="89" t="s">
        <v>59</v>
      </c>
      <c r="H6" s="28" t="s">
        <v>60</v>
      </c>
      <c r="I6" s="29" t="s">
        <v>61</v>
      </c>
      <c r="J6" s="29" t="s">
        <v>62</v>
      </c>
      <c r="K6" s="29" t="s">
        <v>63</v>
      </c>
      <c r="L6" s="24" t="s">
        <v>64</v>
      </c>
      <c r="M6" s="217" t="s">
        <v>65</v>
      </c>
      <c r="N6" s="7" t="s">
        <v>66</v>
      </c>
      <c r="O6" s="25" t="s">
        <v>67</v>
      </c>
      <c r="P6" s="25" t="s">
        <v>68</v>
      </c>
      <c r="Q6" s="7" t="s">
        <v>69</v>
      </c>
      <c r="R6" s="89" t="s">
        <v>70</v>
      </c>
      <c r="S6" s="116" t="s">
        <v>71</v>
      </c>
      <c r="T6" s="36"/>
      <c r="U6" s="364" t="s">
        <v>72</v>
      </c>
      <c r="W6" s="35"/>
      <c r="X6" s="35"/>
    </row>
    <row r="7" spans="1:39" ht="15" thickBot="1">
      <c r="B7" s="47" t="s">
        <v>73</v>
      </c>
      <c r="C7" s="49" t="s">
        <v>74</v>
      </c>
      <c r="D7" s="127"/>
      <c r="E7" s="34"/>
      <c r="F7" s="34"/>
      <c r="G7" s="127"/>
      <c r="H7" s="47"/>
      <c r="I7" s="34"/>
      <c r="J7" s="46"/>
      <c r="K7" s="48"/>
      <c r="L7" s="33"/>
      <c r="M7" s="34"/>
      <c r="N7" s="34"/>
      <c r="O7" s="34"/>
      <c r="P7" s="34"/>
      <c r="Q7" s="34"/>
      <c r="R7" s="120"/>
      <c r="S7" s="117"/>
      <c r="T7" s="39"/>
      <c r="U7" s="38"/>
      <c r="V7" s="38"/>
      <c r="W7" s="38"/>
      <c r="X7" s="38"/>
    </row>
    <row r="8" spans="1:39" s="57" customFormat="1">
      <c r="B8" s="151" t="s">
        <v>75</v>
      </c>
      <c r="C8" s="152" t="s">
        <v>76</v>
      </c>
      <c r="D8" s="153">
        <f>9569</f>
        <v>9569</v>
      </c>
      <c r="E8" s="154">
        <v>1911</v>
      </c>
      <c r="F8" s="154">
        <f>21077+35526</f>
        <v>56603</v>
      </c>
      <c r="G8" s="213">
        <f>F8/E8</f>
        <v>29.61957090528519</v>
      </c>
      <c r="H8" s="155">
        <v>130.495</v>
      </c>
      <c r="I8" s="156">
        <v>1083.07</v>
      </c>
      <c r="J8" s="157">
        <v>523.49800000000005</v>
      </c>
      <c r="K8" s="215">
        <f>J8/I8</f>
        <v>0.48334641343588142</v>
      </c>
      <c r="L8" s="158">
        <v>2254.7620000000002</v>
      </c>
      <c r="M8" s="154">
        <v>4113</v>
      </c>
      <c r="N8" s="154">
        <v>4709.3829999999998</v>
      </c>
      <c r="O8" s="159">
        <f>N8/M8</f>
        <v>1.1449995137369315</v>
      </c>
      <c r="P8" s="234">
        <f>N8*1.0345</f>
        <v>4871.8567134999994</v>
      </c>
      <c r="Q8" s="340">
        <v>0.25700000000000001</v>
      </c>
      <c r="R8" s="154">
        <v>21693.297999999999</v>
      </c>
      <c r="S8" s="160">
        <v>47636.258000000002</v>
      </c>
      <c r="T8" s="59"/>
      <c r="U8" s="365">
        <f>R8/L8</f>
        <v>9.6211032472606846</v>
      </c>
      <c r="V8" s="58"/>
      <c r="W8" s="58"/>
      <c r="X8" s="58"/>
    </row>
    <row r="9" spans="1:39" ht="14.9" customHeight="1">
      <c r="B9" s="375" t="s">
        <v>77</v>
      </c>
      <c r="C9" s="140" t="s">
        <v>78</v>
      </c>
      <c r="D9" s="135">
        <v>0</v>
      </c>
      <c r="E9" s="18">
        <v>729</v>
      </c>
      <c r="F9" s="70">
        <v>0</v>
      </c>
      <c r="G9" s="214">
        <f t="shared" ref="G9:G10" si="0">F9/E9</f>
        <v>0</v>
      </c>
      <c r="H9" s="129">
        <v>23.350999999999999</v>
      </c>
      <c r="I9" s="66">
        <v>544.78599999999994</v>
      </c>
      <c r="J9" s="71">
        <v>93.284000000000006</v>
      </c>
      <c r="K9" s="214">
        <f t="shared" ref="K9:K10" si="1">J9/I9</f>
        <v>0.17123053822969023</v>
      </c>
      <c r="L9" s="124">
        <v>0</v>
      </c>
      <c r="M9" s="79">
        <v>726</v>
      </c>
      <c r="N9" s="70">
        <v>0</v>
      </c>
      <c r="O9" s="72">
        <f>N9/M9</f>
        <v>0</v>
      </c>
      <c r="P9" s="223">
        <f>N9*1.0345</f>
        <v>0</v>
      </c>
      <c r="Q9" s="341">
        <v>0</v>
      </c>
      <c r="R9" s="70">
        <v>0</v>
      </c>
      <c r="S9" s="118">
        <v>0</v>
      </c>
      <c r="T9" s="44"/>
      <c r="U9" s="365"/>
      <c r="V9" s="35"/>
      <c r="W9" s="35"/>
      <c r="X9" s="35"/>
    </row>
    <row r="10" spans="1:39" ht="14.9" customHeight="1">
      <c r="B10" s="375"/>
      <c r="C10" s="140" t="s">
        <v>31</v>
      </c>
      <c r="D10" s="135">
        <v>3504</v>
      </c>
      <c r="E10" s="18">
        <v>62</v>
      </c>
      <c r="F10" s="70">
        <v>3504</v>
      </c>
      <c r="G10" s="128">
        <f t="shared" si="0"/>
        <v>56.516129032258064</v>
      </c>
      <c r="H10" s="129">
        <v>20.407</v>
      </c>
      <c r="I10" s="66">
        <v>292.334</v>
      </c>
      <c r="J10" s="71">
        <v>61.491999999999997</v>
      </c>
      <c r="K10" s="128">
        <f t="shared" si="1"/>
        <v>0.21034843706171708</v>
      </c>
      <c r="L10" s="124">
        <v>575.69399999999996</v>
      </c>
      <c r="M10" s="79">
        <v>105</v>
      </c>
      <c r="N10" s="70">
        <v>575.69399999999996</v>
      </c>
      <c r="O10" s="72">
        <f>N10/M10</f>
        <v>5.4827999999999992</v>
      </c>
      <c r="P10" s="223">
        <f>N10*1.0345</f>
        <v>595.55544299999997</v>
      </c>
      <c r="Q10" s="341">
        <v>4.2999999999999997E-2</v>
      </c>
      <c r="R10" s="70">
        <v>2302.777</v>
      </c>
      <c r="S10" s="118">
        <v>2302.777</v>
      </c>
      <c r="T10" s="44"/>
      <c r="U10" s="365">
        <f t="shared" ref="U10:U24" si="2">R10/L10</f>
        <v>4.0000017370339105</v>
      </c>
      <c r="V10" s="35"/>
      <c r="W10" s="35"/>
      <c r="X10" s="35"/>
    </row>
    <row r="11" spans="1:39">
      <c r="B11" s="10" t="s">
        <v>79</v>
      </c>
      <c r="C11" s="82"/>
      <c r="D11" s="136">
        <f>SUM(D8:D10)</f>
        <v>13073</v>
      </c>
      <c r="E11" s="73">
        <f t="shared" ref="E11:S11" si="3">SUM(E8:E10)</f>
        <v>2702</v>
      </c>
      <c r="F11" s="73">
        <f t="shared" si="3"/>
        <v>60107</v>
      </c>
      <c r="G11" s="121">
        <f>F11/E11</f>
        <v>22.24537379718727</v>
      </c>
      <c r="H11" s="130">
        <f t="shared" si="3"/>
        <v>174.25300000000001</v>
      </c>
      <c r="I11" s="75">
        <f t="shared" si="3"/>
        <v>1920.1899999999998</v>
      </c>
      <c r="J11" s="76">
        <f>SUM(J8:J10)</f>
        <v>678.274</v>
      </c>
      <c r="K11" s="131">
        <f>J11/I11</f>
        <v>0.35323275300881685</v>
      </c>
      <c r="L11" s="125">
        <f t="shared" si="3"/>
        <v>2830.4560000000001</v>
      </c>
      <c r="M11" s="73">
        <f t="shared" si="3"/>
        <v>4944</v>
      </c>
      <c r="N11" s="73">
        <f t="shared" si="3"/>
        <v>5285.0769999999993</v>
      </c>
      <c r="O11" s="74">
        <f>N11/M11</f>
        <v>1.068988066343042</v>
      </c>
      <c r="P11" s="73">
        <f t="shared" si="3"/>
        <v>5467.4121564999996</v>
      </c>
      <c r="Q11" s="342">
        <f t="shared" si="3"/>
        <v>0.3</v>
      </c>
      <c r="R11" s="73">
        <f t="shared" si="3"/>
        <v>23996.074999999997</v>
      </c>
      <c r="S11" s="218">
        <f t="shared" si="3"/>
        <v>49939.035000000003</v>
      </c>
      <c r="T11" s="39"/>
      <c r="U11" s="365"/>
      <c r="V11" s="38"/>
      <c r="W11" s="38"/>
      <c r="X11" s="38"/>
    </row>
    <row r="12" spans="1:39">
      <c r="B12" s="83"/>
      <c r="C12" s="84"/>
      <c r="D12" s="137"/>
      <c r="E12" s="77"/>
      <c r="F12" s="77"/>
      <c r="G12" s="122"/>
      <c r="H12" s="83"/>
      <c r="I12" s="77"/>
      <c r="J12" s="77"/>
      <c r="K12" s="84"/>
      <c r="L12" s="83"/>
      <c r="M12" s="77"/>
      <c r="N12" s="77"/>
      <c r="O12" s="77"/>
      <c r="P12" s="237"/>
      <c r="Q12" s="343"/>
      <c r="R12" s="77"/>
      <c r="S12" s="8"/>
      <c r="T12" s="41"/>
      <c r="U12" s="365"/>
      <c r="V12" s="41"/>
      <c r="W12" s="41"/>
      <c r="X12" s="41"/>
    </row>
    <row r="13" spans="1:39">
      <c r="B13" s="10" t="s">
        <v>80</v>
      </c>
      <c r="C13" s="82" t="s">
        <v>74</v>
      </c>
      <c r="D13" s="17"/>
      <c r="E13" s="11"/>
      <c r="F13" s="11"/>
      <c r="G13" s="123"/>
      <c r="H13" s="10"/>
      <c r="I13" s="11"/>
      <c r="J13" s="11"/>
      <c r="K13" s="82"/>
      <c r="L13" s="10"/>
      <c r="M13" s="11"/>
      <c r="N13" s="12"/>
      <c r="O13" s="12"/>
      <c r="P13" s="246"/>
      <c r="Q13" s="344"/>
      <c r="R13" s="12"/>
      <c r="S13" s="119"/>
      <c r="T13" s="39"/>
      <c r="U13" s="365"/>
      <c r="V13" s="38"/>
      <c r="W13" s="38"/>
      <c r="X13" s="38"/>
    </row>
    <row r="14" spans="1:39">
      <c r="B14" s="361" t="s">
        <v>81</v>
      </c>
      <c r="C14" s="140" t="s">
        <v>82</v>
      </c>
      <c r="D14" s="138">
        <v>21</v>
      </c>
      <c r="E14" s="18">
        <v>103</v>
      </c>
      <c r="F14" s="18">
        <v>43</v>
      </c>
      <c r="G14" s="214">
        <f t="shared" ref="G14:G15" si="4">F14/E14</f>
        <v>0.41747572815533979</v>
      </c>
      <c r="H14" s="129">
        <v>372.06900000000002</v>
      </c>
      <c r="I14" s="66">
        <v>1369.317</v>
      </c>
      <c r="J14" s="78">
        <v>822.101</v>
      </c>
      <c r="K14" s="214">
        <f t="shared" ref="K14:K15" si="5">J14/I14</f>
        <v>0.60037303268709874</v>
      </c>
      <c r="L14" s="247">
        <v>590</v>
      </c>
      <c r="M14" s="79">
        <v>2304</v>
      </c>
      <c r="N14" s="70">
        <v>980.44</v>
      </c>
      <c r="O14" s="72">
        <f>N14/M14</f>
        <v>0.42553819444444446</v>
      </c>
      <c r="P14" s="223">
        <f>N14*1.0345</f>
        <v>1014.26518</v>
      </c>
      <c r="Q14" s="341">
        <v>0.23699999999999999</v>
      </c>
      <c r="R14" s="345">
        <v>8791</v>
      </c>
      <c r="S14" s="346">
        <v>14581.45</v>
      </c>
      <c r="T14" s="36"/>
      <c r="U14" s="365">
        <f t="shared" si="2"/>
        <v>14.9</v>
      </c>
      <c r="V14" s="37"/>
      <c r="W14" s="35"/>
      <c r="X14" s="35"/>
    </row>
    <row r="15" spans="1:39" ht="29">
      <c r="B15" s="361" t="s">
        <v>83</v>
      </c>
      <c r="C15" s="140" t="s">
        <v>84</v>
      </c>
      <c r="D15" s="135">
        <v>33</v>
      </c>
      <c r="E15" s="18">
        <v>214</v>
      </c>
      <c r="F15" s="79">
        <v>116</v>
      </c>
      <c r="G15" s="128">
        <f t="shared" si="4"/>
        <v>0.54205607476635509</v>
      </c>
      <c r="H15" s="129">
        <v>827.44399999999996</v>
      </c>
      <c r="I15" s="66">
        <v>1212.9269999999999</v>
      </c>
      <c r="J15" s="78">
        <v>2259.473</v>
      </c>
      <c r="K15" s="128">
        <f t="shared" si="5"/>
        <v>1.8628268642713042</v>
      </c>
      <c r="L15" s="248">
        <v>2752.9</v>
      </c>
      <c r="M15" s="249">
        <v>4033</v>
      </c>
      <c r="N15" s="70">
        <v>6805.8909999999996</v>
      </c>
      <c r="O15" s="72">
        <f>N15/M15</f>
        <v>1.6875504587155963</v>
      </c>
      <c r="P15" s="223">
        <f>N15*1.0345</f>
        <v>7040.6942394999996</v>
      </c>
      <c r="Q15" s="341">
        <v>1.56</v>
      </c>
      <c r="R15" s="70">
        <v>35777.159</v>
      </c>
      <c r="S15" s="118">
        <v>78232.540999999997</v>
      </c>
      <c r="T15" s="44"/>
      <c r="U15" s="365">
        <f t="shared" si="2"/>
        <v>12.996170947001344</v>
      </c>
      <c r="V15" s="37"/>
      <c r="W15" s="35"/>
      <c r="X15" s="35"/>
    </row>
    <row r="16" spans="1:39" s="14" customFormat="1">
      <c r="B16" s="10" t="s">
        <v>85</v>
      </c>
      <c r="C16" s="82"/>
      <c r="D16" s="17">
        <f>SUM(D14:D15)</f>
        <v>54</v>
      </c>
      <c r="E16" s="11">
        <f t="shared" ref="E16:R16" si="6">SUM(E14:E15)</f>
        <v>317</v>
      </c>
      <c r="F16" s="11">
        <f>SUM(F14:F15)</f>
        <v>159</v>
      </c>
      <c r="G16" s="121">
        <f>F16/E16</f>
        <v>0.50157728706624605</v>
      </c>
      <c r="H16" s="130">
        <f t="shared" si="6"/>
        <v>1199.5129999999999</v>
      </c>
      <c r="I16" s="75">
        <f t="shared" si="6"/>
        <v>2582.2439999999997</v>
      </c>
      <c r="J16" s="76">
        <f>SUM(J14:J15)</f>
        <v>3081.5740000000001</v>
      </c>
      <c r="K16" s="131">
        <f>J16/I16</f>
        <v>1.1933705722619552</v>
      </c>
      <c r="L16" s="125">
        <f t="shared" si="6"/>
        <v>3342.9</v>
      </c>
      <c r="M16" s="73">
        <f t="shared" si="6"/>
        <v>6337</v>
      </c>
      <c r="N16" s="73">
        <f t="shared" si="6"/>
        <v>7786.3310000000001</v>
      </c>
      <c r="O16" s="74">
        <f>N16/M16</f>
        <v>1.2287093261795803</v>
      </c>
      <c r="P16" s="73">
        <f t="shared" si="6"/>
        <v>8054.9594195</v>
      </c>
      <c r="Q16" s="342">
        <f t="shared" si="6"/>
        <v>1.7970000000000002</v>
      </c>
      <c r="R16" s="73">
        <f t="shared" si="6"/>
        <v>44568.159</v>
      </c>
      <c r="S16" s="218">
        <f>SUM(S14:S15)</f>
        <v>92813.990999999995</v>
      </c>
      <c r="T16" s="39"/>
      <c r="U16" s="365"/>
      <c r="V16" s="38"/>
      <c r="W16" s="38"/>
      <c r="X16" s="38"/>
      <c r="Y16"/>
      <c r="Z16"/>
      <c r="AA16"/>
      <c r="AB16"/>
      <c r="AC16"/>
      <c r="AD16"/>
      <c r="AE16"/>
      <c r="AF16"/>
      <c r="AG16"/>
      <c r="AH16"/>
      <c r="AI16"/>
      <c r="AJ16"/>
      <c r="AK16"/>
      <c r="AL16"/>
      <c r="AM16"/>
    </row>
    <row r="17" spans="2:39">
      <c r="B17" s="83"/>
      <c r="C17" s="84"/>
      <c r="D17" s="137"/>
      <c r="E17" s="77"/>
      <c r="F17" s="77"/>
      <c r="G17" s="122"/>
      <c r="H17" s="83"/>
      <c r="I17" s="77"/>
      <c r="J17" s="77"/>
      <c r="K17" s="84"/>
      <c r="L17" s="83"/>
      <c r="M17" s="77"/>
      <c r="N17" s="77"/>
      <c r="O17" s="77"/>
      <c r="P17" s="77"/>
      <c r="Q17" s="343"/>
      <c r="R17" s="349"/>
      <c r="S17" s="350"/>
      <c r="T17" s="41"/>
      <c r="U17" s="365"/>
      <c r="V17" s="41"/>
      <c r="W17" s="41"/>
      <c r="X17" s="41"/>
    </row>
    <row r="18" spans="2:39">
      <c r="B18" s="86" t="s">
        <v>86</v>
      </c>
      <c r="C18" s="141" t="s">
        <v>82</v>
      </c>
      <c r="D18" s="138">
        <v>0</v>
      </c>
      <c r="E18" s="18">
        <v>28</v>
      </c>
      <c r="F18" s="18">
        <v>0</v>
      </c>
      <c r="G18" s="214">
        <f t="shared" ref="G18" si="7">F18/E18</f>
        <v>0</v>
      </c>
      <c r="H18" s="132">
        <v>0</v>
      </c>
      <c r="I18" s="66">
        <v>395.113</v>
      </c>
      <c r="J18" s="78">
        <v>41.241999999999997</v>
      </c>
      <c r="K18" s="128">
        <f t="shared" ref="K18" si="8">J18/I18</f>
        <v>0.10438026589861633</v>
      </c>
      <c r="L18" s="126">
        <v>0</v>
      </c>
      <c r="M18" s="18">
        <v>346</v>
      </c>
      <c r="N18" s="64">
        <v>0</v>
      </c>
      <c r="O18" s="72">
        <f>N18/M18</f>
        <v>0</v>
      </c>
      <c r="P18" s="223">
        <f>N18*1.0345</f>
        <v>0</v>
      </c>
      <c r="Q18" s="341">
        <v>0</v>
      </c>
      <c r="R18" s="321">
        <v>0</v>
      </c>
      <c r="S18" s="347">
        <v>0</v>
      </c>
      <c r="T18" s="41"/>
      <c r="U18" s="365"/>
      <c r="V18" s="41"/>
      <c r="W18" s="41"/>
      <c r="X18" s="41"/>
    </row>
    <row r="19" spans="2:39">
      <c r="B19" s="10" t="s">
        <v>87</v>
      </c>
      <c r="C19" s="82" t="s">
        <v>74</v>
      </c>
      <c r="D19" s="17"/>
      <c r="E19" s="11"/>
      <c r="F19" s="11"/>
      <c r="G19" s="123"/>
      <c r="H19" s="10"/>
      <c r="I19" s="11"/>
      <c r="J19" s="11"/>
      <c r="K19" s="82"/>
      <c r="L19" s="10"/>
      <c r="M19" s="11"/>
      <c r="N19" s="11"/>
      <c r="O19" s="11"/>
      <c r="P19" s="11"/>
      <c r="Q19" s="342"/>
      <c r="R19" s="351"/>
      <c r="S19" s="352"/>
      <c r="T19" s="39"/>
      <c r="U19" s="365"/>
      <c r="V19" s="38"/>
      <c r="W19" s="38"/>
      <c r="X19" s="38"/>
    </row>
    <row r="20" spans="2:39">
      <c r="B20" s="13" t="s">
        <v>5</v>
      </c>
      <c r="C20" s="142" t="s">
        <v>88</v>
      </c>
      <c r="D20" s="222">
        <v>209</v>
      </c>
      <c r="E20" s="223">
        <v>1008</v>
      </c>
      <c r="F20" s="223">
        <f>1579+17125</f>
        <v>18704</v>
      </c>
      <c r="G20" s="214">
        <f t="shared" ref="G20:G21" si="9">F20/E20</f>
        <v>18.555555555555557</v>
      </c>
      <c r="H20" s="133">
        <v>5.6289999999999996</v>
      </c>
      <c r="I20" s="67">
        <v>377.61200000000002</v>
      </c>
      <c r="J20" s="68">
        <v>274.291</v>
      </c>
      <c r="K20" s="214">
        <f>J20/I20</f>
        <v>0.7263831657892228</v>
      </c>
      <c r="L20" s="13">
        <v>0</v>
      </c>
      <c r="M20" s="19">
        <v>0</v>
      </c>
      <c r="N20" s="64">
        <v>0</v>
      </c>
      <c r="O20" s="72">
        <v>0</v>
      </c>
      <c r="P20" s="223">
        <f>N20*1.0345</f>
        <v>0</v>
      </c>
      <c r="Q20" s="341">
        <v>3.92</v>
      </c>
      <c r="R20" s="321">
        <v>0</v>
      </c>
      <c r="S20" s="347">
        <v>0</v>
      </c>
      <c r="T20" s="36"/>
      <c r="U20" s="365"/>
      <c r="V20" s="37"/>
      <c r="W20" s="35"/>
      <c r="X20" s="35"/>
    </row>
    <row r="21" spans="2:39" s="57" customFormat="1">
      <c r="B21" s="9" t="s">
        <v>9</v>
      </c>
      <c r="C21" s="143" t="s">
        <v>82</v>
      </c>
      <c r="D21" s="139">
        <v>1</v>
      </c>
      <c r="E21" s="64">
        <v>144</v>
      </c>
      <c r="F21" s="19">
        <v>1</v>
      </c>
      <c r="G21" s="128">
        <f t="shared" si="9"/>
        <v>6.9444444444444441E-3</v>
      </c>
      <c r="H21" s="134">
        <v>19.917000000000002</v>
      </c>
      <c r="I21" s="81">
        <v>607.23900000000003</v>
      </c>
      <c r="J21" s="68">
        <v>73.744</v>
      </c>
      <c r="K21" s="128">
        <f t="shared" ref="K21" si="10">J21/I21</f>
        <v>0.12144147526756351</v>
      </c>
      <c r="L21" s="124">
        <v>24.6</v>
      </c>
      <c r="M21" s="70">
        <v>3484</v>
      </c>
      <c r="N21" s="70">
        <v>24.6</v>
      </c>
      <c r="O21" s="72">
        <f>N21/M21</f>
        <v>7.0608495981630314E-3</v>
      </c>
      <c r="P21" s="223">
        <f>N21*1.0345</f>
        <v>25.448700000000002</v>
      </c>
      <c r="Q21" s="341">
        <v>0</v>
      </c>
      <c r="R21" s="321">
        <v>368.6</v>
      </c>
      <c r="S21" s="347">
        <v>368.6</v>
      </c>
      <c r="T21" s="61"/>
      <c r="U21" s="365">
        <f t="shared" si="2"/>
        <v>14.983739837398375</v>
      </c>
      <c r="V21" s="60"/>
      <c r="W21" s="62"/>
      <c r="X21" s="62"/>
    </row>
    <row r="22" spans="2:39">
      <c r="B22" s="10" t="s">
        <v>89</v>
      </c>
      <c r="C22" s="82"/>
      <c r="D22" s="17">
        <f>SUM(D20:D21)</f>
        <v>210</v>
      </c>
      <c r="E22" s="73">
        <f t="shared" ref="E22:R22" si="11">SUM(E20:E21)</f>
        <v>1152</v>
      </c>
      <c r="F22" s="11">
        <f t="shared" si="11"/>
        <v>18705</v>
      </c>
      <c r="G22" s="121">
        <f>F22/E22</f>
        <v>16.236979166666668</v>
      </c>
      <c r="H22" s="130">
        <f t="shared" si="11"/>
        <v>25.545999999999999</v>
      </c>
      <c r="I22" s="75">
        <f t="shared" si="11"/>
        <v>984.85100000000011</v>
      </c>
      <c r="J22" s="76">
        <f>SUM(J20:J21)</f>
        <v>348.03499999999997</v>
      </c>
      <c r="K22" s="131">
        <f>J22/I22</f>
        <v>0.35338848211556867</v>
      </c>
      <c r="L22" s="338">
        <f t="shared" si="11"/>
        <v>24.6</v>
      </c>
      <c r="M22" s="339">
        <f t="shared" si="11"/>
        <v>3484</v>
      </c>
      <c r="N22" s="339">
        <f t="shared" si="11"/>
        <v>24.6</v>
      </c>
      <c r="O22" s="74">
        <f>N22/M22</f>
        <v>7.0608495981630314E-3</v>
      </c>
      <c r="P22" s="339">
        <f t="shared" si="11"/>
        <v>25.448700000000002</v>
      </c>
      <c r="Q22" s="342">
        <f t="shared" si="11"/>
        <v>3.92</v>
      </c>
      <c r="R22" s="339">
        <f t="shared" si="11"/>
        <v>368.6</v>
      </c>
      <c r="S22" s="348">
        <f>SUM(S20:S21)</f>
        <v>368.6</v>
      </c>
      <c r="T22" s="39"/>
      <c r="U22" s="365"/>
      <c r="V22" s="42"/>
      <c r="W22" s="38"/>
      <c r="X22" s="38"/>
    </row>
    <row r="23" spans="2:39">
      <c r="B23" s="83"/>
      <c r="C23" s="84"/>
      <c r="D23" s="137"/>
      <c r="E23" s="77"/>
      <c r="F23" s="77"/>
      <c r="G23" s="122"/>
      <c r="H23" s="83"/>
      <c r="I23" s="77"/>
      <c r="J23" s="77"/>
      <c r="K23" s="84"/>
      <c r="L23" s="83"/>
      <c r="M23" s="77"/>
      <c r="N23" s="77"/>
      <c r="O23" s="77"/>
      <c r="P23" s="77"/>
      <c r="Q23" s="343"/>
      <c r="R23" s="77"/>
      <c r="S23" s="8"/>
      <c r="T23" s="41"/>
      <c r="U23" s="365"/>
      <c r="V23" s="41"/>
      <c r="W23" s="41"/>
      <c r="X23" s="41"/>
    </row>
    <row r="24" spans="2:39">
      <c r="B24" s="86" t="s">
        <v>15</v>
      </c>
      <c r="C24" s="141" t="s">
        <v>82</v>
      </c>
      <c r="D24" s="135">
        <v>5</v>
      </c>
      <c r="E24" s="18">
        <v>37</v>
      </c>
      <c r="F24" s="79">
        <v>18</v>
      </c>
      <c r="G24" s="214">
        <f t="shared" ref="G24" si="12">F24/E24</f>
        <v>0.48648648648648651</v>
      </c>
      <c r="H24" s="132">
        <v>14.747999999999999</v>
      </c>
      <c r="I24" s="66">
        <v>311.2</v>
      </c>
      <c r="J24" s="78">
        <v>78.947999999999993</v>
      </c>
      <c r="K24" s="128">
        <f t="shared" ref="K24" si="13">J24/I24</f>
        <v>0.25368894601542413</v>
      </c>
      <c r="L24" s="319">
        <v>5.024</v>
      </c>
      <c r="M24" s="320"/>
      <c r="N24" s="321">
        <v>23.78</v>
      </c>
      <c r="O24" s="72" t="e">
        <f>N24/M24</f>
        <v>#DIV/0!</v>
      </c>
      <c r="P24" s="223">
        <f>N24*1.0345</f>
        <v>24.60041</v>
      </c>
      <c r="Q24" s="341">
        <v>2E-3</v>
      </c>
      <c r="R24" s="70">
        <v>72.218999999999994</v>
      </c>
      <c r="S24" s="118">
        <v>379.17</v>
      </c>
      <c r="T24" s="41"/>
      <c r="U24" s="365">
        <f t="shared" si="2"/>
        <v>14.374800955414011</v>
      </c>
      <c r="V24" s="41"/>
      <c r="W24" s="41"/>
      <c r="X24" s="41"/>
    </row>
    <row r="25" spans="2:39">
      <c r="B25" s="10" t="s">
        <v>90</v>
      </c>
      <c r="C25" s="85"/>
      <c r="D25" s="144"/>
      <c r="E25" s="145"/>
      <c r="F25" s="145"/>
      <c r="G25" s="146"/>
      <c r="H25" s="147"/>
      <c r="I25" s="12"/>
      <c r="J25" s="235">
        <v>1.4319999999999999</v>
      </c>
      <c r="K25" s="85"/>
      <c r="L25" s="148"/>
      <c r="M25" s="145"/>
      <c r="N25" s="145"/>
      <c r="O25" s="145"/>
      <c r="P25" s="145"/>
      <c r="Q25" s="149"/>
      <c r="R25" s="145"/>
      <c r="S25" s="150"/>
      <c r="T25" s="39"/>
      <c r="U25" s="38"/>
      <c r="V25" s="38"/>
      <c r="W25" s="38"/>
      <c r="X25" s="38"/>
    </row>
    <row r="26" spans="2:39" ht="15" thickBot="1">
      <c r="B26" s="20" t="s">
        <v>91</v>
      </c>
      <c r="C26" s="161"/>
      <c r="D26" s="162">
        <f>+D11+D16+D18+D22+D24</f>
        <v>13342</v>
      </c>
      <c r="E26" s="163">
        <f>+E11+E16+E18+E22+E24</f>
        <v>4236</v>
      </c>
      <c r="F26" s="163">
        <f>+F11+F16+F18+F22+F24</f>
        <v>78989</v>
      </c>
      <c r="G26" s="164">
        <f>F26/E26</f>
        <v>18.64707271010387</v>
      </c>
      <c r="H26" s="165">
        <f>+H11+H16+H18+H22+H24+H25</f>
        <v>1414.06</v>
      </c>
      <c r="I26" s="166">
        <f>+I11+I16+I18+I22+I25+I24</f>
        <v>6193.597999999999</v>
      </c>
      <c r="J26" s="166">
        <f>J11+J16+J18+J22+J24+J25</f>
        <v>4229.5050000000001</v>
      </c>
      <c r="K26" s="167">
        <f>J26/I26</f>
        <v>0.68288335794476829</v>
      </c>
      <c r="L26" s="168">
        <f>+L11+L16+L18+L24</f>
        <v>6178.38</v>
      </c>
      <c r="M26" s="163">
        <f>+M11+M16+M18+M24</f>
        <v>11627</v>
      </c>
      <c r="N26" s="163">
        <f>+N11+N16+N18+N24</f>
        <v>13095.188</v>
      </c>
      <c r="O26" s="169">
        <f>N26/M26</f>
        <v>1.1262740173733552</v>
      </c>
      <c r="P26" s="171">
        <f>+P11+P16+P18+P24</f>
        <v>13546.971985999999</v>
      </c>
      <c r="Q26" s="170">
        <f>+Q11+Q16+Q18+Q22+Q24</f>
        <v>6.0189999999999992</v>
      </c>
      <c r="R26" s="171">
        <f>+R11+R16+R18+R24</f>
        <v>68636.452999999994</v>
      </c>
      <c r="S26" s="219">
        <f>+S11+S16+S18+S24</f>
        <v>143132.19600000003</v>
      </c>
      <c r="T26" s="39"/>
      <c r="U26" s="38"/>
      <c r="V26" s="38"/>
      <c r="W26" s="38"/>
      <c r="X26" s="38"/>
    </row>
    <row r="27" spans="2:39" ht="16.5">
      <c r="B27" s="22" t="s">
        <v>92</v>
      </c>
      <c r="C27" s="14"/>
      <c r="D27" s="14"/>
      <c r="E27" s="14"/>
      <c r="F27" s="14"/>
      <c r="G27" s="14"/>
      <c r="H27" s="14"/>
      <c r="I27" s="14"/>
      <c r="J27" s="14"/>
      <c r="K27" s="14"/>
      <c r="L27" s="14"/>
      <c r="M27" s="14"/>
      <c r="N27" s="14"/>
      <c r="O27" s="14"/>
      <c r="P27" s="14"/>
      <c r="Q27" s="14"/>
      <c r="R27" s="14"/>
      <c r="S27" s="14"/>
      <c r="T27" s="15"/>
      <c r="U27" s="14"/>
      <c r="V27" s="14"/>
      <c r="W27" s="16"/>
      <c r="X27" s="16"/>
      <c r="Y27" s="14"/>
      <c r="Z27" s="14"/>
      <c r="AA27" s="14"/>
      <c r="AB27" s="14"/>
      <c r="AC27" s="14"/>
      <c r="AD27" s="14"/>
      <c r="AE27" s="14"/>
      <c r="AF27" s="14"/>
      <c r="AG27" s="14"/>
      <c r="AH27" s="14"/>
      <c r="AI27" s="14"/>
      <c r="AJ27" s="14"/>
      <c r="AK27" s="14"/>
      <c r="AL27" s="14"/>
      <c r="AM27" s="14"/>
    </row>
    <row r="28" spans="2:39" ht="16">
      <c r="B28" s="245" t="s">
        <v>93</v>
      </c>
      <c r="C28" s="14"/>
      <c r="D28" s="14"/>
      <c r="E28" s="14"/>
      <c r="F28" s="14"/>
      <c r="G28" s="14"/>
      <c r="H28" s="14"/>
      <c r="I28" s="14"/>
      <c r="J28" s="14"/>
      <c r="K28" s="14"/>
      <c r="L28" s="14"/>
      <c r="M28" s="14"/>
      <c r="N28" s="14"/>
      <c r="O28" s="14"/>
      <c r="P28" s="14"/>
      <c r="Q28" s="14"/>
      <c r="R28" s="14"/>
      <c r="S28" s="14"/>
      <c r="T28" s="15"/>
      <c r="U28" s="14"/>
      <c r="V28" s="14"/>
      <c r="W28" s="16"/>
      <c r="X28" s="16"/>
      <c r="Y28" s="14"/>
      <c r="Z28" s="14"/>
      <c r="AA28" s="14"/>
      <c r="AB28" s="14"/>
      <c r="AC28" s="14"/>
      <c r="AD28" s="14"/>
      <c r="AE28" s="14"/>
      <c r="AF28" s="14"/>
      <c r="AG28" s="14"/>
      <c r="AH28" s="14"/>
      <c r="AI28" s="14"/>
      <c r="AJ28" s="14"/>
      <c r="AK28" s="14"/>
      <c r="AL28" s="14"/>
      <c r="AM28" s="14"/>
    </row>
    <row r="29" spans="2:39">
      <c r="B29" t="s">
        <v>94</v>
      </c>
    </row>
    <row r="30" spans="2:39">
      <c r="B30" t="s">
        <v>95</v>
      </c>
    </row>
    <row r="31" spans="2:39">
      <c r="B31" t="s">
        <v>96</v>
      </c>
      <c r="M31" s="359"/>
    </row>
    <row r="33" spans="7:11">
      <c r="K33" s="69"/>
    </row>
    <row r="35" spans="7:11">
      <c r="G35" t="s">
        <v>97</v>
      </c>
    </row>
  </sheetData>
  <mergeCells count="4">
    <mergeCell ref="D4:G4"/>
    <mergeCell ref="H4:K4"/>
    <mergeCell ref="B9:B10"/>
    <mergeCell ref="L4:S4"/>
  </mergeCells>
  <pageMargins left="0.25" right="0.25" top="0.75" bottom="0.75" header="0.3" footer="0.3"/>
  <pageSetup scale="24" fitToHeight="0" orientation="landscape" r:id="rId1"/>
  <ignoredErrors>
    <ignoredError sqref="K2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23"/>
  <sheetViews>
    <sheetView zoomScaleNormal="100" zoomScaleSheetLayoutView="100" workbookViewId="0">
      <selection activeCell="C1" sqref="C1"/>
    </sheetView>
  </sheetViews>
  <sheetFormatPr defaultColWidth="9.453125" defaultRowHeight="14.5"/>
  <cols>
    <col min="1" max="1" width="4.453125" customWidth="1"/>
    <col min="2" max="2" width="32" customWidth="1"/>
    <col min="3" max="3" width="64.5429687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15" ht="23.5">
      <c r="A1" s="1" t="s">
        <v>35</v>
      </c>
      <c r="K1" s="36"/>
      <c r="N1" s="35"/>
      <c r="O1" s="35"/>
    </row>
    <row r="2" spans="1:15">
      <c r="K2" s="36"/>
      <c r="N2" s="35"/>
      <c r="O2" s="35"/>
    </row>
    <row r="3" spans="1:15" ht="19" thickBot="1">
      <c r="A3" s="5"/>
      <c r="B3" s="5" t="s">
        <v>36</v>
      </c>
      <c r="C3" s="5"/>
      <c r="D3" s="5"/>
      <c r="E3" s="5"/>
      <c r="F3" s="5"/>
      <c r="G3" s="5"/>
      <c r="H3" s="5"/>
      <c r="K3" s="45"/>
      <c r="N3" s="35"/>
      <c r="O3" s="35"/>
    </row>
    <row r="4" spans="1:15" ht="43.4" customHeight="1" thickBot="1">
      <c r="A4" t="s">
        <v>37</v>
      </c>
      <c r="B4" s="30"/>
      <c r="C4" s="30"/>
      <c r="D4" s="371" t="s">
        <v>10</v>
      </c>
      <c r="E4" s="371"/>
      <c r="F4" s="383" t="s">
        <v>98</v>
      </c>
      <c r="G4" s="384"/>
      <c r="H4" s="385" t="s">
        <v>39</v>
      </c>
      <c r="I4" s="386"/>
      <c r="K4" s="36"/>
      <c r="M4" s="43" t="s">
        <v>10</v>
      </c>
      <c r="N4" s="43"/>
      <c r="O4" s="43"/>
    </row>
    <row r="5" spans="1:15" ht="21" customHeight="1" thickBot="1">
      <c r="B5" s="362"/>
      <c r="C5" s="30"/>
      <c r="D5" s="91" t="s">
        <v>40</v>
      </c>
      <c r="E5" s="92" t="s">
        <v>41</v>
      </c>
      <c r="F5" s="93" t="s">
        <v>42</v>
      </c>
      <c r="G5" s="94" t="s">
        <v>99</v>
      </c>
      <c r="H5" s="95" t="s">
        <v>44</v>
      </c>
      <c r="I5" s="96" t="s">
        <v>45</v>
      </c>
      <c r="K5" s="36"/>
      <c r="N5" s="35"/>
      <c r="O5" s="35"/>
    </row>
    <row r="6" spans="1:15" ht="52.5" customHeight="1" thickBot="1">
      <c r="B6" s="97"/>
      <c r="C6" s="98"/>
      <c r="D6" s="377" t="s">
        <v>58</v>
      </c>
      <c r="E6" s="378"/>
      <c r="F6" s="379" t="s">
        <v>100</v>
      </c>
      <c r="G6" s="380"/>
      <c r="H6" s="381" t="s">
        <v>66</v>
      </c>
      <c r="I6" s="382"/>
      <c r="K6" s="36"/>
      <c r="N6" s="35"/>
      <c r="O6" s="35"/>
    </row>
    <row r="7" spans="1:15" ht="29.5" thickBot="1">
      <c r="B7" s="105" t="s">
        <v>73</v>
      </c>
      <c r="C7" s="106" t="s">
        <v>74</v>
      </c>
      <c r="D7" s="107" t="s">
        <v>101</v>
      </c>
      <c r="E7" s="108" t="s">
        <v>102</v>
      </c>
      <c r="F7" s="107" t="s">
        <v>101</v>
      </c>
      <c r="G7" s="108" t="s">
        <v>102</v>
      </c>
      <c r="H7" s="107" t="s">
        <v>101</v>
      </c>
      <c r="I7" s="109" t="s">
        <v>102</v>
      </c>
      <c r="J7" s="38"/>
      <c r="K7" s="39"/>
      <c r="L7" s="38"/>
      <c r="M7" s="38"/>
      <c r="N7" s="38"/>
      <c r="O7" s="38"/>
    </row>
    <row r="8" spans="1:15">
      <c r="B8" s="104" t="s">
        <v>30</v>
      </c>
      <c r="C8" s="250" t="s">
        <v>76</v>
      </c>
      <c r="D8" s="355">
        <v>7</v>
      </c>
      <c r="E8" s="224">
        <f>'Qtr Electric Master'!F8-D8</f>
        <v>56596</v>
      </c>
      <c r="F8" s="230">
        <f>D8/(D8+E8)*245.343</f>
        <v>3.034116566259739E-2</v>
      </c>
      <c r="G8" s="230">
        <f>245.343-F8</f>
        <v>245.31265883433738</v>
      </c>
      <c r="H8" s="353">
        <f>D8/(D8+E8)*'Qtr Electric Master'!N8</f>
        <v>0.58240165715598113</v>
      </c>
      <c r="I8" s="232">
        <f>'Qtr Electric Master'!N8-H8</f>
        <v>4708.8005983428438</v>
      </c>
      <c r="J8" s="35"/>
      <c r="K8" s="40"/>
      <c r="L8" s="35"/>
      <c r="M8" s="35"/>
      <c r="N8" s="35"/>
      <c r="O8" s="35"/>
    </row>
    <row r="9" spans="1:15">
      <c r="B9" s="375" t="s">
        <v>12</v>
      </c>
      <c r="C9" s="251" t="s">
        <v>78</v>
      </c>
      <c r="D9" s="226">
        <v>0</v>
      </c>
      <c r="E9" s="226">
        <f>0</f>
        <v>0</v>
      </c>
      <c r="F9" s="229">
        <v>0</v>
      </c>
      <c r="G9" s="229">
        <v>0</v>
      </c>
      <c r="H9" s="90">
        <v>0</v>
      </c>
      <c r="I9" s="52">
        <v>0</v>
      </c>
      <c r="J9" s="35"/>
      <c r="K9" s="40"/>
      <c r="L9" s="35"/>
      <c r="M9" s="35"/>
      <c r="N9" s="35"/>
      <c r="O9" s="35"/>
    </row>
    <row r="10" spans="1:15">
      <c r="B10" s="375"/>
      <c r="C10" s="65" t="s">
        <v>31</v>
      </c>
      <c r="D10" s="226">
        <v>3504</v>
      </c>
      <c r="E10" s="224">
        <f>'Qtr Electric Master'!F10-D10</f>
        <v>0</v>
      </c>
      <c r="F10" s="230">
        <f>D10/(D10+E10)*20.407</f>
        <v>20.407</v>
      </c>
      <c r="G10" s="230">
        <f>20.407-F10</f>
        <v>0</v>
      </c>
      <c r="H10" s="353">
        <f>D10/(D10+E10)*'Qtr Electric Master'!N10</f>
        <v>575.69399999999996</v>
      </c>
      <c r="I10" s="232">
        <f>'Qtr Electric Master'!N10-H10</f>
        <v>0</v>
      </c>
      <c r="J10" s="35"/>
      <c r="K10" s="40"/>
      <c r="L10" s="35"/>
      <c r="M10" s="35"/>
      <c r="N10" s="35"/>
      <c r="O10" s="35"/>
    </row>
    <row r="11" spans="1:15">
      <c r="B11" s="10" t="s">
        <v>79</v>
      </c>
      <c r="C11" s="11"/>
      <c r="D11" s="227">
        <f t="shared" ref="D11:I11" si="0">SUM(D8:D10)</f>
        <v>3511</v>
      </c>
      <c r="E11" s="227">
        <f t="shared" si="0"/>
        <v>56596</v>
      </c>
      <c r="F11" s="240">
        <f t="shared" si="0"/>
        <v>20.437341165662598</v>
      </c>
      <c r="G11" s="240">
        <f t="shared" si="0"/>
        <v>245.31265883433738</v>
      </c>
      <c r="H11" s="239">
        <f t="shared" si="0"/>
        <v>576.27640165715593</v>
      </c>
      <c r="I11" s="227">
        <f t="shared" si="0"/>
        <v>4708.8005983428438</v>
      </c>
      <c r="J11" s="38"/>
      <c r="K11" s="39"/>
      <c r="L11" s="38"/>
      <c r="M11" s="38"/>
      <c r="N11" s="38"/>
      <c r="O11" s="38"/>
    </row>
    <row r="12" spans="1:15">
      <c r="B12" s="83"/>
      <c r="C12" s="77"/>
      <c r="D12" s="335"/>
      <c r="E12" s="322"/>
      <c r="F12" s="323"/>
      <c r="G12" s="322"/>
      <c r="H12" s="322"/>
      <c r="I12" s="324"/>
      <c r="J12" s="41"/>
      <c r="K12" s="41"/>
      <c r="L12" s="41"/>
      <c r="M12" s="41"/>
      <c r="N12" s="41"/>
      <c r="O12" s="41"/>
    </row>
    <row r="13" spans="1:15">
      <c r="B13" s="86" t="s">
        <v>13</v>
      </c>
      <c r="C13" s="80" t="s">
        <v>82</v>
      </c>
      <c r="D13" s="226">
        <v>0</v>
      </c>
      <c r="E13" s="90">
        <v>0</v>
      </c>
      <c r="F13" s="229">
        <v>0</v>
      </c>
      <c r="G13" s="229">
        <v>0</v>
      </c>
      <c r="H13" s="90">
        <v>0</v>
      </c>
      <c r="I13" s="52">
        <v>0</v>
      </c>
      <c r="J13" s="41"/>
      <c r="K13" s="41"/>
      <c r="L13" s="41"/>
      <c r="M13" s="41"/>
      <c r="N13" s="41"/>
      <c r="O13" s="41"/>
    </row>
    <row r="14" spans="1:15">
      <c r="B14" s="10" t="s">
        <v>87</v>
      </c>
      <c r="C14" s="11" t="s">
        <v>74</v>
      </c>
      <c r="D14" s="227"/>
      <c r="E14" s="225"/>
      <c r="F14" s="325"/>
      <c r="G14" s="225"/>
      <c r="H14" s="225"/>
      <c r="I14" s="326"/>
      <c r="J14" s="38"/>
      <c r="K14" s="39"/>
      <c r="L14" s="38"/>
      <c r="M14" s="38"/>
      <c r="N14" s="38"/>
      <c r="O14" s="38"/>
    </row>
    <row r="15" spans="1:15">
      <c r="B15" s="13" t="s">
        <v>5</v>
      </c>
      <c r="C15" s="19" t="s">
        <v>88</v>
      </c>
      <c r="D15" s="238">
        <v>2</v>
      </c>
      <c r="E15" s="226">
        <f>'Qtr Electric Master'!F20-D15</f>
        <v>18702</v>
      </c>
      <c r="F15" s="230">
        <f>D15/(D15+E15)*147.9</f>
        <v>1.5814798973481609E-2</v>
      </c>
      <c r="G15" s="231">
        <f>147.9-F15</f>
        <v>147.88418520102653</v>
      </c>
      <c r="H15" s="353">
        <v>0</v>
      </c>
      <c r="I15" s="52">
        <v>0</v>
      </c>
      <c r="J15" s="37"/>
      <c r="K15" s="36"/>
      <c r="L15" s="37"/>
      <c r="M15" s="37"/>
      <c r="N15" s="35"/>
      <c r="O15" s="35"/>
    </row>
    <row r="16" spans="1:15">
      <c r="B16" s="9" t="s">
        <v>9</v>
      </c>
      <c r="C16" s="64" t="s">
        <v>82</v>
      </c>
      <c r="D16" s="238">
        <v>0</v>
      </c>
      <c r="E16" s="90">
        <f>'Qtr Electric Master'!F21</f>
        <v>1</v>
      </c>
      <c r="F16" s="327">
        <v>0</v>
      </c>
      <c r="G16" s="328">
        <v>1</v>
      </c>
      <c r="H16" s="228">
        <v>0</v>
      </c>
      <c r="I16" s="233">
        <f>'Qtr Electric Master'!L21</f>
        <v>24.6</v>
      </c>
      <c r="J16" s="37"/>
      <c r="K16" s="36"/>
      <c r="L16" s="37"/>
      <c r="M16" s="37"/>
      <c r="N16" s="35"/>
      <c r="O16" s="35"/>
    </row>
    <row r="17" spans="2:30">
      <c r="B17" s="10" t="s">
        <v>89</v>
      </c>
      <c r="C17" s="11"/>
      <c r="D17" s="227">
        <f t="shared" ref="D17:I17" si="1">SUM(D15:D16)</f>
        <v>2</v>
      </c>
      <c r="E17" s="227">
        <f t="shared" si="1"/>
        <v>18703</v>
      </c>
      <c r="F17" s="240">
        <f t="shared" si="1"/>
        <v>1.5814798973481609E-2</v>
      </c>
      <c r="G17" s="240">
        <f t="shared" si="1"/>
        <v>148.88418520102653</v>
      </c>
      <c r="H17" s="227">
        <f t="shared" si="1"/>
        <v>0</v>
      </c>
      <c r="I17" s="227">
        <f t="shared" si="1"/>
        <v>24.6</v>
      </c>
      <c r="J17" s="42"/>
      <c r="K17" s="39"/>
      <c r="L17" s="42"/>
      <c r="M17" s="42"/>
      <c r="N17" s="38"/>
      <c r="O17" s="38"/>
    </row>
    <row r="18" spans="2:30">
      <c r="B18" s="83"/>
      <c r="C18" s="77"/>
      <c r="D18" s="335"/>
      <c r="E18" s="322"/>
      <c r="F18" s="323"/>
      <c r="G18" s="322"/>
      <c r="H18" s="322"/>
      <c r="I18" s="324"/>
      <c r="J18" s="41"/>
      <c r="K18" s="41"/>
      <c r="L18" s="41"/>
      <c r="M18" s="41"/>
      <c r="N18" s="41"/>
      <c r="O18" s="41"/>
    </row>
    <row r="19" spans="2:30">
      <c r="B19" s="86" t="s">
        <v>15</v>
      </c>
      <c r="C19" s="80" t="s">
        <v>82</v>
      </c>
      <c r="D19" s="226">
        <f>'Qtr Electric Master'!F24</f>
        <v>18</v>
      </c>
      <c r="E19" s="90">
        <v>0</v>
      </c>
      <c r="F19" s="328">
        <v>46.536000000000001</v>
      </c>
      <c r="G19" s="229">
        <v>0</v>
      </c>
      <c r="H19" s="236">
        <f>'Qtr Electric Master'!N24</f>
        <v>23.78</v>
      </c>
      <c r="I19" s="52">
        <v>0</v>
      </c>
      <c r="J19" s="41"/>
      <c r="K19" s="41"/>
      <c r="L19" s="41"/>
      <c r="M19" s="41"/>
      <c r="N19" s="41"/>
      <c r="O19" s="41"/>
    </row>
    <row r="20" spans="2:30" ht="15" thickBot="1">
      <c r="B20" s="20" t="s">
        <v>103</v>
      </c>
      <c r="C20" s="21"/>
      <c r="D20" s="336"/>
      <c r="E20" s="330"/>
      <c r="F20" s="331">
        <v>0</v>
      </c>
      <c r="G20" s="332">
        <v>0</v>
      </c>
      <c r="H20" s="329"/>
      <c r="I20" s="333"/>
      <c r="J20" s="38"/>
      <c r="K20" s="39"/>
      <c r="L20" s="38"/>
      <c r="M20" s="38"/>
      <c r="N20" s="38"/>
      <c r="O20" s="38"/>
    </row>
    <row r="21" spans="2:30">
      <c r="B21" s="10" t="s">
        <v>91</v>
      </c>
      <c r="C21" s="11"/>
      <c r="D21" s="227">
        <f>+D11+D13+D17+D19</f>
        <v>3531</v>
      </c>
      <c r="E21" s="227">
        <f>+E11+E13+E17+E19</f>
        <v>75299</v>
      </c>
      <c r="F21" s="334">
        <f>F11+F13+F17+F20+F19</f>
        <v>66.989155964636083</v>
      </c>
      <c r="G21" s="240">
        <f>G11+G13+G17+G20+G19</f>
        <v>394.19684403536394</v>
      </c>
      <c r="H21" s="239">
        <f>+H11+H13+H19</f>
        <v>600.0564016571559</v>
      </c>
      <c r="I21" s="227">
        <f>+I11+I13+I19</f>
        <v>4708.8005983428438</v>
      </c>
      <c r="J21" s="38"/>
      <c r="K21" s="39"/>
      <c r="L21" s="38"/>
      <c r="M21" s="38"/>
      <c r="N21" s="38"/>
      <c r="O21" s="38"/>
    </row>
    <row r="22" spans="2:30" ht="16.5">
      <c r="B22" s="22" t="s">
        <v>104</v>
      </c>
      <c r="C22" s="14"/>
      <c r="D22" s="14"/>
      <c r="E22" s="14"/>
      <c r="F22" s="14"/>
      <c r="G22" s="14"/>
      <c r="H22" s="14"/>
      <c r="I22" s="14"/>
      <c r="J22" s="14"/>
      <c r="K22" s="15"/>
      <c r="L22" s="14"/>
      <c r="M22" s="14"/>
      <c r="N22" s="16"/>
      <c r="O22" s="16"/>
      <c r="P22" s="14"/>
      <c r="Q22" s="14"/>
      <c r="R22" s="14"/>
      <c r="S22" s="14"/>
      <c r="T22" s="14"/>
      <c r="U22" s="14"/>
      <c r="V22" s="14"/>
      <c r="W22" s="14"/>
      <c r="X22" s="14"/>
      <c r="Y22" s="14"/>
      <c r="Z22" s="14"/>
      <c r="AA22" s="14"/>
      <c r="AB22" s="14"/>
      <c r="AC22" s="14"/>
      <c r="AD22" s="14"/>
    </row>
    <row r="23" spans="2:30">
      <c r="B23" t="s">
        <v>95</v>
      </c>
    </row>
  </sheetData>
  <mergeCells count="7">
    <mergeCell ref="B9:B10"/>
    <mergeCell ref="D6:E6"/>
    <mergeCell ref="F6:G6"/>
    <mergeCell ref="H6:I6"/>
    <mergeCell ref="D4:E4"/>
    <mergeCell ref="F4:G4"/>
    <mergeCell ref="H4:I4"/>
  </mergeCells>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D19"/>
  <sheetViews>
    <sheetView zoomScaleNormal="100" zoomScaleSheetLayoutView="100" workbookViewId="0">
      <selection activeCell="L6" sqref="L6"/>
    </sheetView>
  </sheetViews>
  <sheetFormatPr defaultColWidth="9.453125" defaultRowHeight="14.5"/>
  <cols>
    <col min="1" max="1" width="4.453125" customWidth="1"/>
    <col min="2" max="2" width="41.453125" customWidth="1"/>
    <col min="3" max="3" width="65.453125" customWidth="1"/>
    <col min="4" max="8" width="13.54296875" customWidth="1"/>
    <col min="9" max="9" width="14.54296875" customWidth="1"/>
    <col min="10" max="10" width="16.453125" customWidth="1"/>
    <col min="11" max="11" width="16.453125" style="4" customWidth="1"/>
    <col min="12" max="13" width="16.453125" customWidth="1"/>
    <col min="14" max="15" width="15.54296875" style="2" customWidth="1"/>
    <col min="16" max="16" width="13.54296875" customWidth="1"/>
    <col min="20" max="20" width="9.453125" customWidth="1"/>
  </cols>
  <sheetData>
    <row r="1" spans="1:30" ht="23.5">
      <c r="A1" s="1" t="s">
        <v>35</v>
      </c>
      <c r="K1" s="36"/>
      <c r="N1" s="35"/>
      <c r="O1" s="35"/>
    </row>
    <row r="2" spans="1:30">
      <c r="K2" s="36"/>
      <c r="N2" s="35"/>
      <c r="O2" s="35"/>
    </row>
    <row r="3" spans="1:30" ht="19" thickBot="1">
      <c r="A3" s="5"/>
      <c r="B3" s="5" t="s">
        <v>36</v>
      </c>
      <c r="C3" s="5"/>
      <c r="D3" s="5"/>
      <c r="E3" s="5"/>
      <c r="F3" s="5"/>
      <c r="G3" s="5"/>
      <c r="H3" s="5"/>
      <c r="K3" s="45"/>
      <c r="N3" s="35"/>
      <c r="O3" s="35"/>
    </row>
    <row r="4" spans="1:30" ht="43.4" customHeight="1" thickBot="1">
      <c r="A4" t="s">
        <v>37</v>
      </c>
      <c r="B4" s="362"/>
      <c r="C4" s="363"/>
      <c r="D4" s="371" t="s">
        <v>10</v>
      </c>
      <c r="E4" s="372"/>
      <c r="F4" s="383" t="s">
        <v>98</v>
      </c>
      <c r="G4" s="384"/>
      <c r="H4" s="385" t="s">
        <v>39</v>
      </c>
      <c r="I4" s="386"/>
      <c r="K4" s="36"/>
      <c r="M4" s="43" t="s">
        <v>10</v>
      </c>
      <c r="N4" s="43"/>
      <c r="O4" s="43"/>
    </row>
    <row r="5" spans="1:30" ht="21" customHeight="1" thickBot="1">
      <c r="B5" s="55"/>
      <c r="C5" s="110"/>
      <c r="D5" s="63" t="s">
        <v>40</v>
      </c>
      <c r="E5" s="51" t="s">
        <v>41</v>
      </c>
      <c r="F5" s="53" t="s">
        <v>42</v>
      </c>
      <c r="G5" s="54" t="s">
        <v>99</v>
      </c>
      <c r="H5" s="50" t="s">
        <v>44</v>
      </c>
      <c r="I5" s="51" t="s">
        <v>45</v>
      </c>
      <c r="K5" s="36"/>
      <c r="N5" s="35"/>
      <c r="O5" s="35"/>
    </row>
    <row r="6" spans="1:30" ht="52.5" customHeight="1" thickBot="1">
      <c r="B6" s="56"/>
      <c r="C6" s="111"/>
      <c r="D6" s="387" t="s">
        <v>58</v>
      </c>
      <c r="E6" s="388"/>
      <c r="F6" s="389" t="s">
        <v>105</v>
      </c>
      <c r="G6" s="390"/>
      <c r="H6" s="381" t="s">
        <v>66</v>
      </c>
      <c r="I6" s="382"/>
      <c r="K6" s="36"/>
      <c r="N6" s="35"/>
      <c r="O6" s="35"/>
    </row>
    <row r="7" spans="1:30" ht="29">
      <c r="B7" s="99" t="s">
        <v>80</v>
      </c>
      <c r="C7" s="100" t="s">
        <v>74</v>
      </c>
      <c r="D7" s="101" t="s">
        <v>106</v>
      </c>
      <c r="E7" s="101" t="s">
        <v>107</v>
      </c>
      <c r="F7" s="101" t="s">
        <v>106</v>
      </c>
      <c r="G7" s="101" t="s">
        <v>107</v>
      </c>
      <c r="H7" s="101" t="s">
        <v>106</v>
      </c>
      <c r="I7" s="102" t="s">
        <v>107</v>
      </c>
      <c r="J7" s="38"/>
      <c r="K7" s="39"/>
      <c r="L7" s="38"/>
      <c r="M7" s="38"/>
      <c r="N7" s="38"/>
      <c r="O7" s="38"/>
    </row>
    <row r="8" spans="1:30">
      <c r="B8" s="361" t="s">
        <v>14</v>
      </c>
      <c r="C8" s="65" t="s">
        <v>82</v>
      </c>
      <c r="D8" s="226">
        <f>'Qtr Electric Master'!F14</f>
        <v>43</v>
      </c>
      <c r="E8" s="226">
        <v>0</v>
      </c>
      <c r="F8" s="231">
        <f>559.487</f>
        <v>559.48699999999997</v>
      </c>
      <c r="G8" s="231">
        <v>0</v>
      </c>
      <c r="H8" s="226">
        <f>'Qtr Electric Master'!N14</f>
        <v>980.44</v>
      </c>
      <c r="I8" s="233">
        <v>0</v>
      </c>
      <c r="J8" s="37"/>
      <c r="K8" s="36"/>
      <c r="L8" s="37"/>
      <c r="M8" s="37"/>
      <c r="N8" s="35"/>
      <c r="O8" s="35"/>
    </row>
    <row r="9" spans="1:30" ht="14.25" customHeight="1">
      <c r="B9" s="361" t="s">
        <v>108</v>
      </c>
      <c r="C9" s="251" t="s">
        <v>84</v>
      </c>
      <c r="D9" s="226">
        <f>'Qtr Electric Master'!F15*0.8</f>
        <v>92.800000000000011</v>
      </c>
      <c r="E9" s="226">
        <f>'Qtr Electric Master'!F15*0.2</f>
        <v>23.200000000000003</v>
      </c>
      <c r="F9" s="231">
        <f>0.8*2088.451</f>
        <v>1670.7608</v>
      </c>
      <c r="G9" s="231">
        <f>0.2*2088.451</f>
        <v>417.6902</v>
      </c>
      <c r="H9" s="354">
        <f>0.8*'Qtr Electric Master'!N15</f>
        <v>5444.7128000000002</v>
      </c>
      <c r="I9" s="233">
        <f>0.2*'Qtr Electric Master'!N15</f>
        <v>1361.1782000000001</v>
      </c>
      <c r="J9" s="44"/>
      <c r="K9" s="44"/>
      <c r="L9" s="44"/>
      <c r="M9" s="37"/>
      <c r="N9" s="35"/>
      <c r="O9" s="35"/>
    </row>
    <row r="10" spans="1:30" s="14" customFormat="1">
      <c r="B10" s="10" t="s">
        <v>85</v>
      </c>
      <c r="C10" s="11"/>
      <c r="D10" s="227">
        <f>SUM(D8:D9)</f>
        <v>135.80000000000001</v>
      </c>
      <c r="E10" s="227">
        <f>E9</f>
        <v>23.200000000000003</v>
      </c>
      <c r="F10" s="240">
        <f>SUM(F8:F9)</f>
        <v>2230.2478000000001</v>
      </c>
      <c r="G10" s="240">
        <f>G9</f>
        <v>417.6902</v>
      </c>
      <c r="H10" s="227">
        <f>SUM(H8:H9)</f>
        <v>6425.1527999999998</v>
      </c>
      <c r="I10" s="356">
        <f>I9</f>
        <v>1361.1782000000001</v>
      </c>
      <c r="J10" s="38"/>
      <c r="K10" s="39"/>
      <c r="L10" s="38"/>
      <c r="M10" s="38"/>
      <c r="N10" s="38"/>
      <c r="O10" s="38"/>
      <c r="P10"/>
      <c r="Q10"/>
      <c r="R10"/>
      <c r="S10"/>
      <c r="T10"/>
      <c r="U10"/>
      <c r="V10"/>
      <c r="W10"/>
      <c r="X10"/>
      <c r="Y10"/>
      <c r="Z10"/>
      <c r="AA10"/>
      <c r="AB10"/>
      <c r="AC10"/>
      <c r="AD10"/>
    </row>
    <row r="11" spans="1:30">
      <c r="B11" s="83"/>
      <c r="C11" s="77"/>
      <c r="D11" s="335"/>
      <c r="E11" s="335"/>
      <c r="F11" s="241"/>
      <c r="G11" s="241"/>
      <c r="H11" s="335"/>
      <c r="I11" s="357"/>
      <c r="J11" s="41"/>
      <c r="K11" s="41"/>
      <c r="L11" s="41"/>
      <c r="M11" s="41"/>
      <c r="N11" s="41"/>
      <c r="O11" s="41"/>
    </row>
    <row r="12" spans="1:30">
      <c r="B12" s="86" t="s">
        <v>13</v>
      </c>
      <c r="C12" s="80" t="s">
        <v>82</v>
      </c>
      <c r="D12" s="226">
        <v>0</v>
      </c>
      <c r="E12" s="226">
        <v>0</v>
      </c>
      <c r="F12" s="231">
        <v>0</v>
      </c>
      <c r="G12" s="231">
        <v>0</v>
      </c>
      <c r="H12" s="226">
        <v>0</v>
      </c>
      <c r="I12" s="233">
        <v>0</v>
      </c>
      <c r="J12" s="41"/>
      <c r="K12" s="41"/>
      <c r="L12" s="41"/>
      <c r="M12" s="41"/>
      <c r="N12" s="41"/>
      <c r="O12" s="41"/>
    </row>
    <row r="13" spans="1:30">
      <c r="B13" s="103" t="s">
        <v>87</v>
      </c>
      <c r="C13" s="11" t="s">
        <v>74</v>
      </c>
      <c r="D13" s="227"/>
      <c r="E13" s="227"/>
      <c r="F13" s="240"/>
      <c r="G13" s="240"/>
      <c r="H13" s="227"/>
      <c r="I13" s="356"/>
      <c r="J13" s="38"/>
      <c r="K13" s="39"/>
      <c r="L13" s="38"/>
      <c r="M13" s="38"/>
      <c r="N13" s="38"/>
      <c r="O13" s="38"/>
    </row>
    <row r="14" spans="1:30">
      <c r="B14" s="13" t="s">
        <v>5</v>
      </c>
      <c r="C14" s="19" t="s">
        <v>88</v>
      </c>
      <c r="D14" s="238">
        <v>0</v>
      </c>
      <c r="E14" s="238">
        <v>0</v>
      </c>
      <c r="F14" s="242">
        <v>0</v>
      </c>
      <c r="G14" s="242">
        <v>0</v>
      </c>
      <c r="H14" s="226">
        <v>0</v>
      </c>
      <c r="I14" s="233">
        <v>0</v>
      </c>
      <c r="J14" s="37"/>
      <c r="K14" s="36"/>
      <c r="L14" s="37"/>
      <c r="M14" s="37"/>
      <c r="N14" s="35"/>
      <c r="O14" s="35"/>
    </row>
    <row r="15" spans="1:30">
      <c r="B15" s="9" t="s">
        <v>9</v>
      </c>
      <c r="C15" s="64" t="s">
        <v>82</v>
      </c>
      <c r="D15" s="238">
        <v>0</v>
      </c>
      <c r="E15" s="238">
        <v>0</v>
      </c>
      <c r="F15" s="242">
        <v>0</v>
      </c>
      <c r="G15" s="242">
        <v>0</v>
      </c>
      <c r="H15" s="226">
        <v>0</v>
      </c>
      <c r="I15" s="233">
        <v>0</v>
      </c>
      <c r="J15" s="37"/>
      <c r="K15" s="36"/>
      <c r="L15" s="37"/>
      <c r="M15" s="37"/>
      <c r="N15" s="35"/>
      <c r="O15" s="35"/>
    </row>
    <row r="16" spans="1:30">
      <c r="B16" s="10" t="s">
        <v>89</v>
      </c>
      <c r="C16" s="11"/>
      <c r="D16" s="227">
        <f t="shared" ref="D16:I16" si="0">SUM(D14:D15)</f>
        <v>0</v>
      </c>
      <c r="E16" s="227">
        <f t="shared" si="0"/>
        <v>0</v>
      </c>
      <c r="F16" s="240">
        <f t="shared" si="0"/>
        <v>0</v>
      </c>
      <c r="G16" s="240">
        <f t="shared" si="0"/>
        <v>0</v>
      </c>
      <c r="H16" s="227">
        <f t="shared" si="0"/>
        <v>0</v>
      </c>
      <c r="I16" s="356">
        <f t="shared" si="0"/>
        <v>0</v>
      </c>
      <c r="J16" s="42"/>
      <c r="K16" s="39"/>
      <c r="L16" s="42"/>
      <c r="M16" s="42"/>
      <c r="N16" s="38"/>
      <c r="O16" s="38"/>
    </row>
    <row r="17" spans="2:15">
      <c r="B17" s="83"/>
      <c r="C17" s="77"/>
      <c r="D17" s="335"/>
      <c r="E17" s="335"/>
      <c r="F17" s="241"/>
      <c r="G17" s="241"/>
      <c r="H17" s="335"/>
      <c r="I17" s="357"/>
      <c r="J17" s="41"/>
      <c r="K17" s="41"/>
      <c r="L17" s="41"/>
      <c r="M17" s="41"/>
      <c r="N17" s="41"/>
      <c r="O17" s="41"/>
    </row>
    <row r="18" spans="2:15" ht="15" thickBot="1">
      <c r="B18" s="20" t="s">
        <v>103</v>
      </c>
      <c r="C18" s="32"/>
      <c r="D18" s="336"/>
      <c r="E18" s="337"/>
      <c r="F18" s="243">
        <v>0</v>
      </c>
      <c r="G18" s="244">
        <v>0</v>
      </c>
      <c r="H18" s="336"/>
      <c r="I18" s="337"/>
      <c r="J18" s="38"/>
      <c r="K18" s="39"/>
      <c r="L18" s="38"/>
      <c r="M18" s="38"/>
      <c r="N18" s="38"/>
      <c r="O18" s="38"/>
    </row>
    <row r="19" spans="2:15">
      <c r="B19" s="10" t="s">
        <v>91</v>
      </c>
      <c r="C19" s="11"/>
      <c r="D19" s="227">
        <f t="shared" ref="D19:I19" si="1">+D10+D12+D16</f>
        <v>135.80000000000001</v>
      </c>
      <c r="E19" s="227">
        <f t="shared" si="1"/>
        <v>23.200000000000003</v>
      </c>
      <c r="F19" s="240">
        <f t="shared" si="1"/>
        <v>2230.2478000000001</v>
      </c>
      <c r="G19" s="240">
        <f t="shared" si="1"/>
        <v>417.6902</v>
      </c>
      <c r="H19" s="227">
        <f t="shared" si="1"/>
        <v>6425.1527999999998</v>
      </c>
      <c r="I19" s="358">
        <f t="shared" si="1"/>
        <v>1361.1782000000001</v>
      </c>
      <c r="J19" s="38"/>
      <c r="K19" s="39"/>
      <c r="L19" s="38"/>
      <c r="M19" s="38"/>
      <c r="N19" s="38"/>
      <c r="O19" s="38"/>
    </row>
  </sheetData>
  <mergeCells count="6">
    <mergeCell ref="D4:E4"/>
    <mergeCell ref="F4:G4"/>
    <mergeCell ref="H4:I4"/>
    <mergeCell ref="D6:E6"/>
    <mergeCell ref="F6:G6"/>
    <mergeCell ref="H6:I6"/>
  </mergeCells>
  <pageMargins left="0.25" right="0.25" top="0.75" bottom="0.75" header="0.3" footer="0.3"/>
  <pageSetup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1"/>
  <sheetViews>
    <sheetView topLeftCell="B4" zoomScaleNormal="100" workbookViewId="0">
      <selection activeCell="C17" sqref="C17"/>
    </sheetView>
  </sheetViews>
  <sheetFormatPr defaultColWidth="9.26953125" defaultRowHeight="14"/>
  <cols>
    <col min="1" max="1" width="4.7265625" style="194" customWidth="1"/>
    <col min="2" max="2" width="35" style="194" customWidth="1"/>
    <col min="3" max="3" width="28.26953125" style="194" customWidth="1"/>
    <col min="4" max="4" width="21.453125" style="194" customWidth="1"/>
    <col min="5" max="5" width="28.7265625" style="194" customWidth="1"/>
    <col min="6" max="6" width="9.26953125" style="194"/>
    <col min="7" max="7" width="16.7265625" style="194" customWidth="1"/>
    <col min="8" max="16384" width="9.26953125" style="194"/>
  </cols>
  <sheetData>
    <row r="1" spans="2:19" ht="18">
      <c r="B1" s="193" t="s">
        <v>110</v>
      </c>
    </row>
    <row r="2" spans="2:19" ht="18">
      <c r="B2" s="193"/>
    </row>
    <row r="3" spans="2:19" ht="119.65" customHeight="1">
      <c r="B3" s="391" t="s">
        <v>111</v>
      </c>
      <c r="C3" s="391"/>
      <c r="D3" s="391"/>
      <c r="E3" s="391"/>
      <c r="G3" s="195"/>
      <c r="H3" s="195"/>
      <c r="I3" s="195"/>
      <c r="J3" s="195"/>
      <c r="K3" s="195"/>
      <c r="L3" s="195"/>
      <c r="M3" s="195"/>
      <c r="N3" s="195"/>
      <c r="O3" s="195"/>
      <c r="P3" s="195"/>
      <c r="Q3" s="195"/>
      <c r="R3" s="195"/>
      <c r="S3" s="195"/>
    </row>
    <row r="4" spans="2:19" ht="15.5">
      <c r="B4" s="196"/>
    </row>
    <row r="5" spans="2:19" customFormat="1" ht="14.5">
      <c r="B5" t="s">
        <v>112</v>
      </c>
    </row>
    <row r="6" spans="2:19" customFormat="1" ht="48">
      <c r="B6" s="172" t="s">
        <v>6</v>
      </c>
      <c r="C6" s="173" t="s">
        <v>113</v>
      </c>
      <c r="D6" s="173" t="s">
        <v>7</v>
      </c>
      <c r="E6" s="174" t="s">
        <v>8</v>
      </c>
      <c r="H6" s="175" t="s">
        <v>114</v>
      </c>
      <c r="I6" s="175" t="s">
        <v>115</v>
      </c>
    </row>
    <row r="7" spans="2:19" customFormat="1" ht="14.5">
      <c r="B7" s="176" t="s">
        <v>4</v>
      </c>
      <c r="C7" s="177" t="e">
        <f>#REF!</f>
        <v>#REF!</v>
      </c>
      <c r="D7" s="177" t="e">
        <f>#REF!</f>
        <v>#REF!</v>
      </c>
      <c r="E7" s="178" t="e">
        <f>C7/D7</f>
        <v>#REF!</v>
      </c>
      <c r="G7" s="19" t="s">
        <v>116</v>
      </c>
      <c r="H7" s="197" t="e">
        <f>$C$10</f>
        <v>#REF!</v>
      </c>
      <c r="I7" s="197" t="e">
        <f>$C$17</f>
        <v>#REF!</v>
      </c>
    </row>
    <row r="8" spans="2:19" customFormat="1" ht="14.5">
      <c r="B8" s="176" t="s">
        <v>0</v>
      </c>
      <c r="C8" s="177" t="e">
        <f>#REF!</f>
        <v>#REF!</v>
      </c>
      <c r="D8" s="177" t="e">
        <f>#REF!</f>
        <v>#REF!</v>
      </c>
      <c r="E8" s="178" t="e">
        <f t="shared" ref="E8:E9" si="0">C8/D8</f>
        <v>#REF!</v>
      </c>
      <c r="G8" s="19" t="s">
        <v>117</v>
      </c>
      <c r="H8" s="177" t="e">
        <f>#REF!</f>
        <v>#REF!</v>
      </c>
      <c r="I8" s="252">
        <v>14170</v>
      </c>
    </row>
    <row r="9" spans="2:19" customFormat="1" ht="14.5">
      <c r="B9" s="176" t="s">
        <v>1</v>
      </c>
      <c r="C9" s="177" t="e">
        <f>#REF!</f>
        <v>#REF!</v>
      </c>
      <c r="D9" s="177" t="e">
        <f>#REF!</f>
        <v>#REF!</v>
      </c>
      <c r="E9" s="178" t="e">
        <f t="shared" si="0"/>
        <v>#REF!</v>
      </c>
      <c r="G9" t="s">
        <v>118</v>
      </c>
    </row>
    <row r="10" spans="2:19" customFormat="1" ht="29">
      <c r="B10" s="179" t="s">
        <v>3</v>
      </c>
      <c r="C10" s="180" t="e">
        <f>SUM(C7:C9)</f>
        <v>#REF!</v>
      </c>
      <c r="D10" s="180" t="e">
        <f>SUM(D7:D9)</f>
        <v>#REF!</v>
      </c>
      <c r="E10" s="181" t="e">
        <f>C10/D10</f>
        <v>#REF!</v>
      </c>
    </row>
    <row r="11" spans="2:19" customFormat="1" ht="14.5"/>
    <row r="12" spans="2:19" customFormat="1" ht="14.5">
      <c r="B12" t="s">
        <v>119</v>
      </c>
    </row>
    <row r="13" spans="2:19" customFormat="1" ht="24">
      <c r="B13" s="172" t="s">
        <v>6</v>
      </c>
      <c r="C13" s="173" t="s">
        <v>113</v>
      </c>
      <c r="D13" s="173" t="s">
        <v>7</v>
      </c>
      <c r="E13" s="174" t="s">
        <v>8</v>
      </c>
    </row>
    <row r="14" spans="2:19" customFormat="1" ht="14.5">
      <c r="B14" s="176" t="s">
        <v>4</v>
      </c>
      <c r="C14" s="177">
        <v>1416.65</v>
      </c>
      <c r="D14" s="177" t="e">
        <f>#REF!</f>
        <v>#REF!</v>
      </c>
      <c r="E14" s="178" t="e">
        <f>C14/D14</f>
        <v>#REF!</v>
      </c>
    </row>
    <row r="15" spans="2:19" customFormat="1" ht="14.5">
      <c r="B15" s="176" t="s">
        <v>0</v>
      </c>
      <c r="C15" s="177">
        <v>0</v>
      </c>
      <c r="D15" s="177" t="e">
        <f>#REF!</f>
        <v>#REF!</v>
      </c>
      <c r="E15" s="178" t="e">
        <f t="shared" ref="E15:E16" si="1">C15/D15</f>
        <v>#REF!</v>
      </c>
    </row>
    <row r="16" spans="2:19" customFormat="1" ht="14.5">
      <c r="B16" s="176" t="s">
        <v>1</v>
      </c>
      <c r="C16" s="177" t="e">
        <f>C9</f>
        <v>#REF!</v>
      </c>
      <c r="D16" s="177" t="e">
        <f>#REF!</f>
        <v>#REF!</v>
      </c>
      <c r="E16" s="178" t="e">
        <f t="shared" si="1"/>
        <v>#REF!</v>
      </c>
    </row>
    <row r="17" spans="2:7" customFormat="1" ht="29">
      <c r="B17" s="179" t="s">
        <v>3</v>
      </c>
      <c r="C17" s="180" t="e">
        <f>SUM(C14:C16)</f>
        <v>#REF!</v>
      </c>
      <c r="D17" s="180" t="e">
        <f>SUM(D14:D16)</f>
        <v>#REF!</v>
      </c>
      <c r="E17" s="181" t="e">
        <f>C17/D17</f>
        <v>#REF!</v>
      </c>
    </row>
    <row r="18" spans="2:7" customFormat="1" ht="19.5" customHeight="1">
      <c r="B18" s="392" t="s">
        <v>120</v>
      </c>
      <c r="C18" s="392"/>
      <c r="D18" s="392"/>
      <c r="G18" t="s">
        <v>121</v>
      </c>
    </row>
    <row r="19" spans="2:7" customFormat="1" ht="27" customHeight="1">
      <c r="B19" s="392"/>
      <c r="C19" s="392"/>
      <c r="D19" s="392"/>
    </row>
    <row r="20" spans="2:7" customFormat="1" ht="14.5">
      <c r="B20" s="198"/>
      <c r="C20" s="190"/>
      <c r="D20" s="190"/>
      <c r="E20" s="190"/>
    </row>
    <row r="21" spans="2:7" customFormat="1" ht="14.5">
      <c r="B21" s="191"/>
      <c r="C21" s="36"/>
      <c r="D21" s="36"/>
      <c r="E21" s="199"/>
    </row>
    <row r="22" spans="2:7" customFormat="1" ht="14.5">
      <c r="B22" s="191"/>
      <c r="C22" s="36"/>
      <c r="D22" s="36"/>
      <c r="E22" s="199"/>
    </row>
    <row r="23" spans="2:7" customFormat="1" ht="14.5">
      <c r="B23" s="191"/>
      <c r="C23" s="36"/>
      <c r="D23" s="36"/>
      <c r="E23" s="199"/>
    </row>
    <row r="24" spans="2:7" customFormat="1" ht="14.5">
      <c r="B24" s="191"/>
      <c r="C24" s="36"/>
      <c r="D24" s="36"/>
      <c r="E24" s="199"/>
    </row>
    <row r="25" spans="2:7" customFormat="1" ht="14.5">
      <c r="B25" s="191"/>
      <c r="C25" s="36"/>
      <c r="D25" s="36"/>
      <c r="E25" s="199"/>
    </row>
    <row r="26" spans="2:7" customFormat="1" ht="14.5">
      <c r="B26" s="191"/>
      <c r="C26" s="36"/>
      <c r="D26" s="36"/>
      <c r="E26" s="199"/>
    </row>
    <row r="27" spans="2:7" customFormat="1" ht="14.5">
      <c r="B27" s="191"/>
      <c r="C27" s="36"/>
      <c r="D27" s="36"/>
      <c r="E27" s="199"/>
    </row>
    <row r="28" spans="2:7" customFormat="1" ht="14.5">
      <c r="B28" s="191"/>
      <c r="C28" s="36"/>
      <c r="D28" s="36"/>
      <c r="E28" s="199"/>
    </row>
    <row r="29" spans="2:7" customFormat="1" ht="14.5">
      <c r="B29" s="191"/>
      <c r="C29" s="36"/>
      <c r="D29" s="36"/>
      <c r="E29" s="199"/>
    </row>
    <row r="30" spans="2:7" customFormat="1" ht="14.5"/>
    <row r="31" spans="2:7" customFormat="1" ht="14.5"/>
  </sheetData>
  <mergeCells count="2">
    <mergeCell ref="B3:E3"/>
    <mergeCell ref="B18:D19"/>
  </mergeCells>
  <pageMargins left="0.45" right="0.45"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8"/>
  <sheetViews>
    <sheetView zoomScaleNormal="100" workbookViewId="0">
      <selection activeCell="D17" sqref="D17"/>
    </sheetView>
  </sheetViews>
  <sheetFormatPr defaultColWidth="9.26953125" defaultRowHeight="14"/>
  <cols>
    <col min="1" max="1" width="4.26953125" style="194" customWidth="1"/>
    <col min="2" max="2" width="29.453125" style="194" customWidth="1"/>
    <col min="3" max="3" width="36.453125" style="194" customWidth="1"/>
    <col min="4" max="4" width="28" style="194" customWidth="1"/>
    <col min="5" max="16384" width="9.26953125" style="194"/>
  </cols>
  <sheetData>
    <row r="1" spans="2:4" ht="18">
      <c r="B1" s="193" t="s">
        <v>122</v>
      </c>
    </row>
    <row r="2" spans="2:4" ht="18">
      <c r="B2" s="193"/>
    </row>
    <row r="3" spans="2:4" ht="97.4" customHeight="1">
      <c r="B3" s="393" t="s">
        <v>123</v>
      </c>
      <c r="C3" s="393"/>
      <c r="D3" s="393"/>
    </row>
    <row r="5" spans="2:4" ht="21" customHeight="1">
      <c r="B5" s="394" t="s">
        <v>124</v>
      </c>
      <c r="C5" s="394"/>
      <c r="D5" s="200"/>
    </row>
    <row r="6" spans="2:4" ht="18" customHeight="1">
      <c r="B6" s="201" t="s">
        <v>17</v>
      </c>
      <c r="C6" s="202" t="s">
        <v>125</v>
      </c>
      <c r="D6" s="203"/>
    </row>
    <row r="7" spans="2:4" ht="35.65" customHeight="1">
      <c r="B7" s="204" t="s">
        <v>11</v>
      </c>
      <c r="C7" s="220">
        <f>4.037*1482</f>
        <v>5982.8339999999998</v>
      </c>
      <c r="D7" s="221" t="s">
        <v>126</v>
      </c>
    </row>
    <row r="8" spans="2:4" ht="18" customHeight="1">
      <c r="B8" s="204" t="s">
        <v>127</v>
      </c>
      <c r="C8" s="220">
        <f>C7</f>
        <v>5982.8339999999998</v>
      </c>
    </row>
  </sheetData>
  <mergeCells count="2">
    <mergeCell ref="B3:D3"/>
    <mergeCell ref="B5:C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Q49"/>
  <sheetViews>
    <sheetView showGridLines="0" topLeftCell="A12" zoomScale="85" zoomScaleNormal="85" workbookViewId="0">
      <selection activeCell="E53" sqref="E53"/>
    </sheetView>
  </sheetViews>
  <sheetFormatPr defaultRowHeight="14.5"/>
  <cols>
    <col min="2" max="2" width="60.7265625" customWidth="1"/>
    <col min="3" max="3" width="17.26953125" customWidth="1"/>
    <col min="4" max="4" width="13.26953125" customWidth="1"/>
    <col min="5" max="6" width="10.7265625" customWidth="1"/>
    <col min="7" max="7" width="16.1796875" customWidth="1"/>
    <col min="8" max="8" width="13.54296875" style="274" bestFit="1" customWidth="1"/>
    <col min="9" max="9" width="12.26953125" customWidth="1"/>
    <col min="10" max="16" width="15.453125" customWidth="1"/>
  </cols>
  <sheetData>
    <row r="1" spans="1:17">
      <c r="A1" s="209" t="s">
        <v>128</v>
      </c>
    </row>
    <row r="2" spans="1:17" ht="15" thickBot="1">
      <c r="I2" s="275" t="s">
        <v>4</v>
      </c>
      <c r="J2" s="275" t="s">
        <v>4</v>
      </c>
      <c r="K2" s="275" t="s">
        <v>129</v>
      </c>
      <c r="L2" s="275" t="s">
        <v>130</v>
      </c>
      <c r="M2" s="275" t="s">
        <v>130</v>
      </c>
      <c r="N2" s="275"/>
      <c r="O2" s="275" t="s">
        <v>131</v>
      </c>
      <c r="P2" s="275" t="s">
        <v>131</v>
      </c>
    </row>
    <row r="3" spans="1:17" ht="43.5">
      <c r="A3" s="205"/>
      <c r="B3" s="206"/>
      <c r="C3" s="276" t="s">
        <v>4</v>
      </c>
      <c r="D3" s="277" t="s">
        <v>130</v>
      </c>
      <c r="E3" s="277" t="s">
        <v>129</v>
      </c>
      <c r="F3" s="277" t="s">
        <v>131</v>
      </c>
      <c r="G3" s="278" t="s">
        <v>132</v>
      </c>
      <c r="H3"/>
      <c r="I3" s="279" t="s">
        <v>11</v>
      </c>
      <c r="J3" s="279" t="s">
        <v>26</v>
      </c>
      <c r="K3" s="279" t="s">
        <v>13</v>
      </c>
      <c r="L3" s="279" t="s">
        <v>27</v>
      </c>
      <c r="M3" s="279" t="s">
        <v>28</v>
      </c>
      <c r="N3" s="182" t="s">
        <v>29</v>
      </c>
      <c r="O3" s="279" t="s">
        <v>5</v>
      </c>
      <c r="P3" s="279" t="s">
        <v>2</v>
      </c>
      <c r="Q3" s="191"/>
    </row>
    <row r="4" spans="1:17">
      <c r="A4" s="207" t="s">
        <v>133</v>
      </c>
      <c r="B4" s="183"/>
      <c r="C4" s="280"/>
      <c r="D4" s="281"/>
      <c r="E4" s="281"/>
      <c r="F4" s="281"/>
      <c r="G4" s="282"/>
      <c r="I4" s="281"/>
      <c r="J4" s="281"/>
      <c r="K4" s="281"/>
      <c r="L4" s="281"/>
      <c r="M4" s="281"/>
      <c r="N4" s="281"/>
      <c r="O4" s="281"/>
      <c r="P4" s="281"/>
    </row>
    <row r="5" spans="1:17">
      <c r="A5" s="184">
        <v>1</v>
      </c>
      <c r="B5" s="185" t="s">
        <v>134</v>
      </c>
      <c r="C5" s="253">
        <v>1410957.5511979747</v>
      </c>
      <c r="D5" s="254">
        <v>408988.79724162689</v>
      </c>
      <c r="E5" s="254">
        <v>0</v>
      </c>
      <c r="F5" s="254">
        <v>0</v>
      </c>
      <c r="G5" s="255">
        <f>SUM(C5:F5)</f>
        <v>1819946.3484396017</v>
      </c>
      <c r="I5" s="254">
        <v>1410957.5511979747</v>
      </c>
      <c r="J5" s="254">
        <v>0</v>
      </c>
      <c r="K5" s="254">
        <v>0</v>
      </c>
      <c r="L5" s="254">
        <v>0</v>
      </c>
      <c r="M5" s="254">
        <v>408988.79724162689</v>
      </c>
      <c r="N5" s="254">
        <f t="shared" ref="N5:N12" si="0">SUM(I5:M5)</f>
        <v>1819946.3484396017</v>
      </c>
      <c r="O5" s="254">
        <v>0</v>
      </c>
      <c r="P5" s="254">
        <v>0</v>
      </c>
    </row>
    <row r="6" spans="1:17">
      <c r="A6" s="184">
        <v>2</v>
      </c>
      <c r="B6" s="185" t="s">
        <v>135</v>
      </c>
      <c r="C6" s="253">
        <v>385332.01721650636</v>
      </c>
      <c r="D6" s="254">
        <v>110580.48461431972</v>
      </c>
      <c r="E6" s="254">
        <v>0</v>
      </c>
      <c r="F6" s="254">
        <v>59134.268896132067</v>
      </c>
      <c r="G6" s="255">
        <f t="shared" ref="G6:G16" si="1">SUM(C6:F6)</f>
        <v>555046.77072695806</v>
      </c>
      <c r="I6" s="254">
        <v>385332.01721650636</v>
      </c>
      <c r="J6" s="254">
        <v>0</v>
      </c>
      <c r="K6" s="254">
        <v>0</v>
      </c>
      <c r="L6" s="254">
        <v>0</v>
      </c>
      <c r="M6" s="254">
        <v>110580.48461431972</v>
      </c>
      <c r="N6" s="254">
        <f t="shared" si="0"/>
        <v>495912.50183082605</v>
      </c>
      <c r="O6" s="254">
        <v>59134.268896132067</v>
      </c>
      <c r="P6" s="254">
        <v>0</v>
      </c>
    </row>
    <row r="7" spans="1:17">
      <c r="A7" s="184">
        <v>3</v>
      </c>
      <c r="B7" s="185" t="s">
        <v>136</v>
      </c>
      <c r="C7" s="253">
        <v>0</v>
      </c>
      <c r="D7" s="254">
        <v>0</v>
      </c>
      <c r="E7" s="254">
        <v>0</v>
      </c>
      <c r="F7" s="254">
        <v>0</v>
      </c>
      <c r="G7" s="255">
        <f t="shared" si="1"/>
        <v>0</v>
      </c>
      <c r="I7" s="254">
        <v>0</v>
      </c>
      <c r="J7" s="254">
        <v>0</v>
      </c>
      <c r="K7" s="254">
        <v>0</v>
      </c>
      <c r="L7" s="254">
        <v>0</v>
      </c>
      <c r="M7" s="254">
        <v>0</v>
      </c>
      <c r="N7" s="254">
        <f t="shared" si="0"/>
        <v>0</v>
      </c>
      <c r="O7" s="254">
        <v>0</v>
      </c>
      <c r="P7" s="254">
        <v>0</v>
      </c>
    </row>
    <row r="8" spans="1:17">
      <c r="A8" s="184">
        <v>4</v>
      </c>
      <c r="B8" s="185" t="s">
        <v>137</v>
      </c>
      <c r="C8" s="253">
        <f>SUM(C37:C38)</f>
        <v>25814.774304114362</v>
      </c>
      <c r="D8" s="254">
        <f>SUM(D37:D38)</f>
        <v>7482.826743899951</v>
      </c>
      <c r="E8" s="254">
        <f t="shared" ref="E8:F8" si="2">SUM(E37:E38)</f>
        <v>0</v>
      </c>
      <c r="F8" s="254">
        <f t="shared" si="2"/>
        <v>9.7613409115000507E-2</v>
      </c>
      <c r="G8" s="255">
        <f t="shared" si="1"/>
        <v>33297.698661423434</v>
      </c>
      <c r="I8" s="254">
        <f t="shared" ref="I8:P8" si="3">SUM(I37:I38)</f>
        <v>25814.774304114362</v>
      </c>
      <c r="J8" s="254">
        <f t="shared" si="3"/>
        <v>0</v>
      </c>
      <c r="K8" s="254">
        <f t="shared" si="3"/>
        <v>0</v>
      </c>
      <c r="L8" s="254">
        <f t="shared" si="3"/>
        <v>0</v>
      </c>
      <c r="M8" s="254">
        <f t="shared" si="3"/>
        <v>7482.826743899951</v>
      </c>
      <c r="N8" s="254">
        <f t="shared" si="0"/>
        <v>33297.601048014316</v>
      </c>
      <c r="O8" s="254">
        <f t="shared" si="3"/>
        <v>9.7613409115000507E-2</v>
      </c>
      <c r="P8" s="254">
        <f t="shared" si="3"/>
        <v>0</v>
      </c>
    </row>
    <row r="9" spans="1:17">
      <c r="A9" s="184">
        <v>5</v>
      </c>
      <c r="B9" s="185" t="s">
        <v>138</v>
      </c>
      <c r="C9" s="253">
        <v>0</v>
      </c>
      <c r="D9" s="254">
        <v>0</v>
      </c>
      <c r="E9" s="254">
        <v>0</v>
      </c>
      <c r="F9" s="254">
        <v>0</v>
      </c>
      <c r="G9" s="255">
        <f t="shared" si="1"/>
        <v>0</v>
      </c>
      <c r="I9" s="254">
        <v>0</v>
      </c>
      <c r="J9" s="254">
        <v>0</v>
      </c>
      <c r="K9" s="254">
        <v>0</v>
      </c>
      <c r="L9" s="254">
        <v>0</v>
      </c>
      <c r="M9" s="254">
        <v>0</v>
      </c>
      <c r="N9" s="254">
        <f t="shared" si="0"/>
        <v>0</v>
      </c>
      <c r="O9" s="254">
        <v>0</v>
      </c>
      <c r="P9" s="254">
        <v>0</v>
      </c>
    </row>
    <row r="10" spans="1:17">
      <c r="A10" s="184">
        <v>6</v>
      </c>
      <c r="B10" s="185" t="s">
        <v>139</v>
      </c>
      <c r="C10" s="253">
        <v>0</v>
      </c>
      <c r="D10" s="254">
        <v>0</v>
      </c>
      <c r="E10" s="254">
        <v>0</v>
      </c>
      <c r="F10" s="254">
        <v>0</v>
      </c>
      <c r="G10" s="255">
        <f t="shared" si="1"/>
        <v>0</v>
      </c>
      <c r="I10" s="254">
        <v>0</v>
      </c>
      <c r="J10" s="254">
        <v>0</v>
      </c>
      <c r="K10" s="254">
        <v>0</v>
      </c>
      <c r="L10" s="254">
        <v>0</v>
      </c>
      <c r="M10" s="254">
        <v>0</v>
      </c>
      <c r="N10" s="254">
        <f t="shared" si="0"/>
        <v>0</v>
      </c>
      <c r="O10" s="254">
        <v>0</v>
      </c>
      <c r="P10" s="254">
        <v>0</v>
      </c>
    </row>
    <row r="11" spans="1:17">
      <c r="A11" s="184">
        <v>7</v>
      </c>
      <c r="B11" s="185" t="s">
        <v>140</v>
      </c>
      <c r="C11" s="253">
        <v>0</v>
      </c>
      <c r="D11" s="254">
        <v>0</v>
      </c>
      <c r="E11" s="254">
        <v>0</v>
      </c>
      <c r="F11" s="254">
        <v>0</v>
      </c>
      <c r="G11" s="255">
        <f t="shared" si="1"/>
        <v>0</v>
      </c>
      <c r="I11" s="254">
        <v>0</v>
      </c>
      <c r="J11" s="254">
        <v>0</v>
      </c>
      <c r="K11" s="254">
        <v>0</v>
      </c>
      <c r="L11" s="254">
        <v>0</v>
      </c>
      <c r="M11" s="254">
        <v>0</v>
      </c>
      <c r="N11" s="254">
        <f t="shared" si="0"/>
        <v>0</v>
      </c>
      <c r="O11" s="254">
        <v>0</v>
      </c>
      <c r="P11" s="254">
        <v>0</v>
      </c>
    </row>
    <row r="12" spans="1:17">
      <c r="A12" s="184">
        <v>8</v>
      </c>
      <c r="B12" s="185" t="s">
        <v>141</v>
      </c>
      <c r="C12" s="253">
        <v>359708.11107913172</v>
      </c>
      <c r="D12" s="254">
        <v>106034.39081099138</v>
      </c>
      <c r="E12" s="254">
        <v>0</v>
      </c>
      <c r="F12" s="254">
        <v>56703.189539492625</v>
      </c>
      <c r="G12" s="255">
        <f t="shared" si="1"/>
        <v>522445.69142961572</v>
      </c>
      <c r="I12" s="254">
        <v>359708.11107913172</v>
      </c>
      <c r="J12" s="254">
        <v>0</v>
      </c>
      <c r="K12" s="254">
        <v>0</v>
      </c>
      <c r="L12" s="254">
        <v>0</v>
      </c>
      <c r="M12" s="254">
        <v>106034.39081099138</v>
      </c>
      <c r="N12" s="254">
        <f t="shared" si="0"/>
        <v>465742.50189012312</v>
      </c>
      <c r="O12" s="254">
        <v>56703.189539492625</v>
      </c>
      <c r="P12" s="254">
        <v>0</v>
      </c>
    </row>
    <row r="13" spans="1:17">
      <c r="A13" s="184"/>
      <c r="B13" s="186" t="s">
        <v>142</v>
      </c>
      <c r="C13" s="268">
        <f>SUM(C5:C12)</f>
        <v>2181812.4537977269</v>
      </c>
      <c r="D13" s="269">
        <f>SUM(D5:D12)</f>
        <v>633086.49941083801</v>
      </c>
      <c r="E13" s="269">
        <f>SUM(E5:E12)</f>
        <v>0</v>
      </c>
      <c r="F13" s="269">
        <f>SUM(F5:F12)</f>
        <v>115837.55604903381</v>
      </c>
      <c r="G13" s="270">
        <f>SUM(G5:G12)</f>
        <v>2930736.5092575988</v>
      </c>
      <c r="H13" s="283"/>
      <c r="I13" s="269">
        <f>SUM(I5:I12)</f>
        <v>2181812.4537977269</v>
      </c>
      <c r="J13" s="269">
        <f t="shared" ref="J13:P13" si="4">SUM(J5:J12)</f>
        <v>0</v>
      </c>
      <c r="K13" s="269">
        <f t="shared" si="4"/>
        <v>0</v>
      </c>
      <c r="L13" s="269">
        <f t="shared" si="4"/>
        <v>0</v>
      </c>
      <c r="M13" s="269">
        <f t="shared" si="4"/>
        <v>633086.49941083801</v>
      </c>
      <c r="N13" s="269">
        <f t="shared" si="4"/>
        <v>2814898.9532085648</v>
      </c>
      <c r="O13" s="269">
        <f t="shared" si="4"/>
        <v>115837.55604903381</v>
      </c>
      <c r="P13" s="269">
        <f t="shared" si="4"/>
        <v>0</v>
      </c>
    </row>
    <row r="14" spans="1:17">
      <c r="A14" s="184">
        <v>9</v>
      </c>
      <c r="B14" s="185" t="s">
        <v>143</v>
      </c>
      <c r="C14" s="253">
        <v>459108.57728099212</v>
      </c>
      <c r="D14" s="254">
        <v>472584.11205818434</v>
      </c>
      <c r="E14" s="254">
        <v>0</v>
      </c>
      <c r="F14" s="254">
        <v>0</v>
      </c>
      <c r="G14" s="255">
        <f t="shared" si="1"/>
        <v>931692.68933917652</v>
      </c>
      <c r="I14" s="254">
        <v>459108.57728099212</v>
      </c>
      <c r="J14" s="254">
        <v>0</v>
      </c>
      <c r="K14" s="254">
        <v>0</v>
      </c>
      <c r="L14" s="254">
        <v>0</v>
      </c>
      <c r="M14" s="254">
        <v>472584.11205818434</v>
      </c>
      <c r="N14" s="254">
        <f>SUM(I14:M14)</f>
        <v>931692.68933917652</v>
      </c>
      <c r="O14" s="254">
        <v>0</v>
      </c>
      <c r="P14" s="254">
        <v>0</v>
      </c>
    </row>
    <row r="15" spans="1:17">
      <c r="A15" s="184">
        <v>10</v>
      </c>
      <c r="B15" s="185" t="s">
        <v>144</v>
      </c>
      <c r="C15" s="253">
        <v>631432.32999999996</v>
      </c>
      <c r="D15" s="254">
        <v>493584.68</v>
      </c>
      <c r="E15" s="254">
        <v>86331</v>
      </c>
      <c r="F15" s="254">
        <v>137075</v>
      </c>
      <c r="G15" s="255">
        <f t="shared" si="1"/>
        <v>1348423.01</v>
      </c>
      <c r="I15" s="254">
        <f>I46</f>
        <v>446723.28</v>
      </c>
      <c r="J15" s="254">
        <f t="shared" ref="J15:P15" si="5">J46</f>
        <v>184709.05</v>
      </c>
      <c r="K15" s="254">
        <f t="shared" si="5"/>
        <v>86331</v>
      </c>
      <c r="L15" s="254">
        <f t="shared" si="5"/>
        <v>266787</v>
      </c>
      <c r="M15" s="254">
        <f t="shared" si="5"/>
        <v>226797.68</v>
      </c>
      <c r="N15" s="254">
        <f t="shared" si="5"/>
        <v>1211348.01</v>
      </c>
      <c r="O15" s="254">
        <f t="shared" si="5"/>
        <v>50967</v>
      </c>
      <c r="P15" s="254">
        <f t="shared" si="5"/>
        <v>86108</v>
      </c>
    </row>
    <row r="16" spans="1:17">
      <c r="A16" s="184">
        <v>11</v>
      </c>
      <c r="B16" s="185" t="s">
        <v>145</v>
      </c>
      <c r="C16" s="253">
        <v>0</v>
      </c>
      <c r="D16" s="254">
        <v>0</v>
      </c>
      <c r="E16" s="254">
        <v>0</v>
      </c>
      <c r="F16" s="254">
        <v>0</v>
      </c>
      <c r="G16" s="255">
        <f t="shared" si="1"/>
        <v>0</v>
      </c>
      <c r="I16" s="254">
        <v>0</v>
      </c>
      <c r="J16" s="254">
        <v>0</v>
      </c>
      <c r="K16" s="254">
        <v>0</v>
      </c>
      <c r="L16" s="254">
        <v>0</v>
      </c>
      <c r="M16" s="254">
        <v>0</v>
      </c>
      <c r="N16" s="254">
        <f>SUM(I16:M16)</f>
        <v>0</v>
      </c>
      <c r="O16" s="254">
        <v>0</v>
      </c>
      <c r="P16" s="254">
        <v>0</v>
      </c>
    </row>
    <row r="17" spans="1:16">
      <c r="A17" s="184"/>
      <c r="B17" s="185" t="s">
        <v>146</v>
      </c>
      <c r="C17" s="253">
        <f t="shared" ref="C17:F17" si="6">SUM(C14:C16)</f>
        <v>1090540.907280992</v>
      </c>
      <c r="D17" s="254">
        <f t="shared" si="6"/>
        <v>966168.79205818428</v>
      </c>
      <c r="E17" s="254">
        <f t="shared" si="6"/>
        <v>86331</v>
      </c>
      <c r="F17" s="254">
        <f t="shared" si="6"/>
        <v>137075</v>
      </c>
      <c r="G17" s="255">
        <f>SUM(G14:G16)</f>
        <v>2280115.6993391765</v>
      </c>
      <c r="I17" s="254">
        <f t="shared" ref="I17:M17" si="7">SUM(I14:I16)</f>
        <v>905831.8572809922</v>
      </c>
      <c r="J17" s="254">
        <f t="shared" si="7"/>
        <v>184709.05</v>
      </c>
      <c r="K17" s="254">
        <f t="shared" si="7"/>
        <v>86331</v>
      </c>
      <c r="L17" s="254">
        <f t="shared" si="7"/>
        <v>266787</v>
      </c>
      <c r="M17" s="254">
        <f t="shared" si="7"/>
        <v>699381.79205818428</v>
      </c>
      <c r="N17" s="254">
        <f>SUM(I17:M17)</f>
        <v>2143040.6993391765</v>
      </c>
      <c r="O17" s="254">
        <f t="shared" ref="O17:P17" si="8">SUM(O14:O16)</f>
        <v>50967</v>
      </c>
      <c r="P17" s="254">
        <f t="shared" si="8"/>
        <v>86108</v>
      </c>
    </row>
    <row r="18" spans="1:16">
      <c r="A18" s="184"/>
      <c r="B18" s="186" t="s">
        <v>147</v>
      </c>
      <c r="C18" s="271">
        <f>C13/C17</f>
        <v>2.0006699787517044</v>
      </c>
      <c r="D18" s="272">
        <f>D13/D17</f>
        <v>0.65525455242888087</v>
      </c>
      <c r="E18" s="272">
        <f>E13/E17</f>
        <v>0</v>
      </c>
      <c r="F18" s="272">
        <f>F13/F17</f>
        <v>0.84506697828950439</v>
      </c>
      <c r="G18" s="273">
        <f>G13/G17</f>
        <v>1.2853455243990404</v>
      </c>
      <c r="H18" s="284"/>
      <c r="I18" s="272">
        <f>IFERROR(I13/I17,"n/a")</f>
        <v>2.40862852886054</v>
      </c>
      <c r="J18" s="272">
        <f t="shared" ref="J18:P18" si="9">IFERROR(J13/J17,"n/a")</f>
        <v>0</v>
      </c>
      <c r="K18" s="272">
        <f t="shared" si="9"/>
        <v>0</v>
      </c>
      <c r="L18" s="272">
        <f t="shared" si="9"/>
        <v>0</v>
      </c>
      <c r="M18" s="272">
        <f t="shared" si="9"/>
        <v>0.90520872376124006</v>
      </c>
      <c r="N18" s="272">
        <f t="shared" si="9"/>
        <v>1.3135069968930413</v>
      </c>
      <c r="O18" s="272">
        <f t="shared" si="9"/>
        <v>2.2727952606399007</v>
      </c>
      <c r="P18" s="272">
        <f t="shared" si="9"/>
        <v>0</v>
      </c>
    </row>
    <row r="19" spans="1:16">
      <c r="A19" s="184"/>
      <c r="B19" s="185"/>
      <c r="C19" s="253"/>
      <c r="D19" s="254"/>
      <c r="E19" s="254"/>
      <c r="F19" s="254"/>
      <c r="G19" s="255"/>
      <c r="I19" s="254"/>
      <c r="J19" s="254"/>
      <c r="K19" s="254"/>
      <c r="L19" s="254"/>
      <c r="M19" s="254"/>
      <c r="N19" s="254"/>
      <c r="O19" s="254"/>
      <c r="P19" s="254"/>
    </row>
    <row r="20" spans="1:16">
      <c r="A20" s="207" t="s">
        <v>148</v>
      </c>
      <c r="B20" s="183"/>
      <c r="C20" s="285"/>
      <c r="D20" s="286"/>
      <c r="E20" s="286"/>
      <c r="F20" s="286"/>
      <c r="G20" s="287"/>
      <c r="I20" s="286"/>
      <c r="J20" s="286"/>
      <c r="K20" s="286"/>
      <c r="L20" s="286"/>
      <c r="M20" s="286"/>
      <c r="N20" s="286"/>
      <c r="O20" s="286"/>
      <c r="P20" s="286"/>
    </row>
    <row r="21" spans="1:16">
      <c r="A21" s="184">
        <v>12</v>
      </c>
      <c r="B21" s="185" t="s">
        <v>149</v>
      </c>
      <c r="C21" s="253">
        <v>2618831.8834070121</v>
      </c>
      <c r="D21" s="254">
        <v>759110.64883792063</v>
      </c>
      <c r="E21" s="254">
        <v>0</v>
      </c>
      <c r="F21" s="254">
        <v>0</v>
      </c>
      <c r="G21" s="255">
        <f>SUM(C21:F21)</f>
        <v>3377942.5322449328</v>
      </c>
      <c r="I21" s="254">
        <v>2618831.8834070121</v>
      </c>
      <c r="J21" s="254">
        <v>0</v>
      </c>
      <c r="K21" s="254">
        <v>0</v>
      </c>
      <c r="L21" s="254">
        <v>0</v>
      </c>
      <c r="M21" s="254">
        <v>759110.64883792063</v>
      </c>
      <c r="N21" s="254">
        <f>SUM(I21:M21)</f>
        <v>3377942.5322449328</v>
      </c>
      <c r="O21" s="254">
        <v>0</v>
      </c>
      <c r="P21" s="254">
        <v>0</v>
      </c>
    </row>
    <row r="22" spans="1:16">
      <c r="A22" s="184">
        <v>13</v>
      </c>
      <c r="B22" s="185" t="s">
        <v>150</v>
      </c>
      <c r="C22" s="253">
        <v>283001.77440000011</v>
      </c>
      <c r="D22" s="254">
        <v>440166.02640000015</v>
      </c>
      <c r="E22" s="254">
        <v>0</v>
      </c>
      <c r="F22" s="254">
        <v>70660.5</v>
      </c>
      <c r="G22" s="255">
        <f>SUM(C22:F22)</f>
        <v>793828.30080000032</v>
      </c>
      <c r="I22" s="254">
        <v>283001.77440000011</v>
      </c>
      <c r="J22" s="254">
        <v>0</v>
      </c>
      <c r="K22" s="254">
        <v>0</v>
      </c>
      <c r="L22" s="254">
        <v>0</v>
      </c>
      <c r="M22" s="254">
        <v>440166.02640000015</v>
      </c>
      <c r="N22" s="254">
        <f>SUM(I22:M22)</f>
        <v>723167.80080000032</v>
      </c>
      <c r="O22" s="254">
        <v>70660.5</v>
      </c>
      <c r="P22" s="254">
        <v>0</v>
      </c>
    </row>
    <row r="23" spans="1:16">
      <c r="A23" s="184"/>
      <c r="B23" s="186" t="s">
        <v>151</v>
      </c>
      <c r="C23" s="271">
        <f>IFERROR((C21+C22)/C14,"n/a")</f>
        <v>6.3205825406110376</v>
      </c>
      <c r="D23" s="272">
        <f>IFERROR((D21+D22)/D14,"n/a")</f>
        <v>2.537699945126946</v>
      </c>
      <c r="E23" s="272" t="str">
        <f>IFERROR((E21+E22)/E14,"n/a")</f>
        <v>n/a</v>
      </c>
      <c r="F23" s="272" t="str">
        <f>IFERROR((F21+F22)/F14,"n/a")</f>
        <v>n/a</v>
      </c>
      <c r="G23" s="273">
        <f>IFERROR((G21+G22)/G14,"n/a")</f>
        <v>4.4776253809653195</v>
      </c>
      <c r="H23" s="284"/>
      <c r="I23" s="272">
        <f>IFERROR((I21+I22)/I14,"n/a")</f>
        <v>6.3205825406110376</v>
      </c>
      <c r="J23" s="272" t="str">
        <f t="shared" ref="J23:P23" si="10">IFERROR((J21+J22)/J14,"n/a")</f>
        <v>n/a</v>
      </c>
      <c r="K23" s="272" t="str">
        <f t="shared" si="10"/>
        <v>n/a</v>
      </c>
      <c r="L23" s="272" t="str">
        <f t="shared" si="10"/>
        <v>n/a</v>
      </c>
      <c r="M23" s="272">
        <f t="shared" si="10"/>
        <v>2.537699945126946</v>
      </c>
      <c r="N23" s="272">
        <f t="shared" si="10"/>
        <v>4.4017843866025563</v>
      </c>
      <c r="O23" s="272" t="str">
        <f t="shared" si="10"/>
        <v>n/a</v>
      </c>
      <c r="P23" s="272" t="str">
        <f t="shared" si="10"/>
        <v>n/a</v>
      </c>
    </row>
    <row r="24" spans="1:16">
      <c r="A24" s="184"/>
      <c r="B24" s="185"/>
      <c r="C24" s="253"/>
      <c r="D24" s="254"/>
      <c r="E24" s="254"/>
      <c r="F24" s="254"/>
      <c r="G24" s="255"/>
      <c r="I24" s="254"/>
      <c r="J24" s="254"/>
      <c r="K24" s="254"/>
      <c r="L24" s="254"/>
      <c r="M24" s="254"/>
      <c r="N24" s="254"/>
      <c r="O24" s="254"/>
      <c r="P24" s="254"/>
    </row>
    <row r="25" spans="1:16">
      <c r="A25" s="207" t="s">
        <v>152</v>
      </c>
      <c r="B25" s="183"/>
      <c r="C25" s="285"/>
      <c r="D25" s="286"/>
      <c r="E25" s="286"/>
      <c r="F25" s="286"/>
      <c r="G25" s="287"/>
      <c r="I25" s="286"/>
      <c r="J25" s="286"/>
      <c r="K25" s="286"/>
      <c r="L25" s="286"/>
      <c r="M25" s="286"/>
      <c r="N25" s="286"/>
      <c r="O25" s="286"/>
      <c r="P25" s="286"/>
    </row>
    <row r="26" spans="1:16">
      <c r="A26" s="184"/>
      <c r="B26" s="186" t="s">
        <v>153</v>
      </c>
      <c r="C26" s="271">
        <f>SUM(C5,C6,C7,C8,C9,C10,C11,C12,C29)/SUM(C15,C16,C22)</f>
        <v>2.3859701243637548</v>
      </c>
      <c r="D26" s="272">
        <f>SUM(D5,D6,D7,D8,D9,D10,D11,D12,D29)/SUM(D15,D16,D22)</f>
        <v>0.67800377024789782</v>
      </c>
      <c r="E26" s="272">
        <f>SUM(E5,E6,E7,E8,E9,E10,E11,E12,E29)/SUM(E15,E16,E22)</f>
        <v>0</v>
      </c>
      <c r="F26" s="272">
        <f>SUM(F5,F6,F7,F8,F9,F10,F11,F12,F29)/SUM(F15,F16,F22)</f>
        <v>0.55762041658278827</v>
      </c>
      <c r="G26" s="273">
        <f>SUM(G5,G6,G7,G8,G9,G10,G11,G12,G29)/SUM(G15,G16,G22)</f>
        <v>1.3680638188818042</v>
      </c>
      <c r="H26" s="288"/>
      <c r="I26" s="272">
        <f>IFERROR(SUM(I5,I6,I7,I8,I9,I10,I11,I12,I29)/SUM(I15,I16,I22),"n/a")</f>
        <v>2.9899102965454198</v>
      </c>
      <c r="J26" s="272">
        <f t="shared" ref="J26:P26" si="11">IFERROR(SUM(J5,J6,J7,J8,J9,J10,J11,J12,J29)/SUM(J15,J16,J22),"n/a")</f>
        <v>0</v>
      </c>
      <c r="K26" s="272">
        <f t="shared" si="11"/>
        <v>0</v>
      </c>
      <c r="L26" s="272">
        <f t="shared" si="11"/>
        <v>0</v>
      </c>
      <c r="M26" s="272">
        <f t="shared" si="11"/>
        <v>0.94920682090481723</v>
      </c>
      <c r="N26" s="272">
        <f>IFERROR(SUM(N5,N6,N7,N8,N9,N10,N11,N12,N29)/SUM(N15,N16,N22),"n/a")</f>
        <v>1.4550922445262882</v>
      </c>
      <c r="O26" s="272">
        <f t="shared" si="11"/>
        <v>0.95239609503635125</v>
      </c>
      <c r="P26" s="272">
        <f t="shared" si="11"/>
        <v>0</v>
      </c>
    </row>
    <row r="27" spans="1:16">
      <c r="A27" s="184"/>
      <c r="B27" s="185"/>
      <c r="C27" s="253"/>
      <c r="D27" s="254"/>
      <c r="E27" s="254"/>
      <c r="F27" s="254"/>
      <c r="G27" s="255"/>
      <c r="I27" s="254"/>
      <c r="J27" s="254"/>
      <c r="K27" s="254"/>
      <c r="L27" s="254"/>
      <c r="M27" s="254"/>
      <c r="O27" s="254"/>
      <c r="P27" s="254"/>
    </row>
    <row r="28" spans="1:16">
      <c r="A28" s="207" t="s">
        <v>154</v>
      </c>
      <c r="B28" s="183"/>
      <c r="C28" s="285"/>
      <c r="D28" s="286"/>
      <c r="E28" s="286"/>
      <c r="F28" s="286"/>
      <c r="G28" s="287"/>
      <c r="I28" s="286"/>
      <c r="J28" s="286"/>
      <c r="K28" s="286"/>
      <c r="L28" s="286"/>
      <c r="M28" s="286"/>
      <c r="N28" s="286"/>
      <c r="O28" s="286"/>
      <c r="P28" s="286"/>
    </row>
    <row r="29" spans="1:16">
      <c r="A29" s="184">
        <v>14</v>
      </c>
      <c r="B29" s="185" t="s">
        <v>155</v>
      </c>
      <c r="C29" s="253">
        <v>0</v>
      </c>
      <c r="D29" s="254">
        <v>0</v>
      </c>
      <c r="E29" s="254">
        <v>0</v>
      </c>
      <c r="F29" s="254">
        <v>0</v>
      </c>
      <c r="G29" s="255">
        <f>SUM(C29:F29)</f>
        <v>0</v>
      </c>
      <c r="I29" s="254">
        <v>0</v>
      </c>
      <c r="J29" s="254">
        <v>0</v>
      </c>
      <c r="K29" s="254">
        <v>0</v>
      </c>
      <c r="L29" s="254">
        <v>0</v>
      </c>
      <c r="M29" s="254">
        <v>0</v>
      </c>
      <c r="N29" s="254">
        <f>SUM(I29:M29)</f>
        <v>0</v>
      </c>
      <c r="O29" s="254">
        <v>0</v>
      </c>
      <c r="P29" s="254">
        <v>0</v>
      </c>
    </row>
    <row r="30" spans="1:16">
      <c r="A30" s="184">
        <v>15</v>
      </c>
      <c r="B30" s="185" t="s">
        <v>156</v>
      </c>
      <c r="C30" s="253">
        <v>1410957.5511979747</v>
      </c>
      <c r="D30" s="254">
        <v>408988.79724162689</v>
      </c>
      <c r="E30" s="254">
        <v>0</v>
      </c>
      <c r="F30" s="254">
        <v>0</v>
      </c>
      <c r="G30" s="255">
        <f>SUM(C30:F30)</f>
        <v>1819946.3484396017</v>
      </c>
      <c r="I30" s="254">
        <v>1410957.5511979747</v>
      </c>
      <c r="J30" s="254">
        <v>0</v>
      </c>
      <c r="K30" s="254">
        <v>0</v>
      </c>
      <c r="L30" s="254">
        <v>0</v>
      </c>
      <c r="M30" s="254">
        <v>408988.79724162689</v>
      </c>
      <c r="N30" s="254">
        <f>SUM(I30:M30)</f>
        <v>1819946.3484396017</v>
      </c>
      <c r="O30" s="254">
        <v>0</v>
      </c>
      <c r="P30" s="254">
        <v>0</v>
      </c>
    </row>
    <row r="31" spans="1:16">
      <c r="A31" s="184"/>
      <c r="B31" s="186" t="s">
        <v>157</v>
      </c>
      <c r="C31" s="271">
        <f>SUM(C5,C6,C7,C8,C9,C10,C11,C12,C29)/SUM(C15,C16,C22,C30)</f>
        <v>0.93825590564298889</v>
      </c>
      <c r="D31" s="272">
        <f>SUM(D5,D6,D7,D8,D9,D10,D11,D12,D29)/SUM(D15,D16,D22,D30)</f>
        <v>0.47148869731906451</v>
      </c>
      <c r="E31" s="272">
        <f>SUM(E5,E6,E7,E8,E9,E10,E11,E12,E29)/SUM(E15,E16,E22,E30)</f>
        <v>0</v>
      </c>
      <c r="F31" s="272">
        <f>SUM(F5,F6,F7,F8,F9,F10,F11,F12,F29)/SUM(F15,F16,F22,F30)</f>
        <v>0.55762041658278827</v>
      </c>
      <c r="G31" s="273">
        <f>SUM(G5,G6,G7,G8,G9,G10,G11,G12,G29)/SUM(G15,G16,G22,G30)</f>
        <v>0.7396744840387508</v>
      </c>
      <c r="H31" s="288"/>
      <c r="I31" s="272">
        <f>IFERROR(SUM(I5,I6,I7,I8,I9,I10,I11,I12,I29)/SUM(I15,I16,I22,I30),"n/a")</f>
        <v>1.0192134266388655</v>
      </c>
      <c r="J31" s="272">
        <f t="shared" ref="J31:P31" si="12">IFERROR(SUM(J5,J6,J7,J8,J9,J10,J11,J12,J29)/SUM(J15,J16,J22,J30),"n/a")</f>
        <v>0</v>
      </c>
      <c r="K31" s="272">
        <f t="shared" si="12"/>
        <v>0</v>
      </c>
      <c r="L31" s="272">
        <f t="shared" si="12"/>
        <v>0</v>
      </c>
      <c r="M31" s="272">
        <f t="shared" si="12"/>
        <v>0.58839632536577413</v>
      </c>
      <c r="N31" s="272">
        <f t="shared" si="12"/>
        <v>0.74974758935342978</v>
      </c>
      <c r="O31" s="272">
        <f t="shared" si="12"/>
        <v>0.95239609503635125</v>
      </c>
      <c r="P31" s="272">
        <f t="shared" si="12"/>
        <v>0</v>
      </c>
    </row>
    <row r="32" spans="1:16">
      <c r="A32" s="184"/>
      <c r="B32" s="185"/>
      <c r="C32" s="253"/>
      <c r="D32" s="254"/>
      <c r="E32" s="254"/>
      <c r="F32" s="254"/>
      <c r="G32" s="255"/>
      <c r="I32" s="254"/>
      <c r="J32" s="254"/>
      <c r="K32" s="254"/>
      <c r="L32" s="254"/>
      <c r="M32" s="254"/>
      <c r="N32" s="254"/>
      <c r="O32" s="254"/>
      <c r="P32" s="254"/>
    </row>
    <row r="33" spans="1:16">
      <c r="A33" s="207" t="s">
        <v>158</v>
      </c>
      <c r="B33" s="183"/>
      <c r="C33" s="285"/>
      <c r="D33" s="286"/>
      <c r="E33" s="286"/>
      <c r="F33" s="286"/>
      <c r="G33" s="287"/>
      <c r="I33" s="286"/>
      <c r="J33" s="286"/>
      <c r="K33" s="286"/>
      <c r="L33" s="286"/>
      <c r="M33" s="286"/>
      <c r="N33" s="286"/>
      <c r="O33" s="286"/>
      <c r="P33" s="286"/>
    </row>
    <row r="34" spans="1:16">
      <c r="A34" s="184">
        <v>16</v>
      </c>
      <c r="B34" s="185" t="s">
        <v>134</v>
      </c>
      <c r="C34" s="253">
        <v>1410957.5511979747</v>
      </c>
      <c r="D34" s="254">
        <v>408988.79724162689</v>
      </c>
      <c r="E34" s="254">
        <v>0</v>
      </c>
      <c r="F34" s="254">
        <v>0</v>
      </c>
      <c r="G34" s="255">
        <f>SUM(C34:F34)</f>
        <v>1819946.3484396017</v>
      </c>
      <c r="I34" s="254">
        <v>1410957.5511979747</v>
      </c>
      <c r="J34" s="254">
        <v>0</v>
      </c>
      <c r="K34" s="254">
        <v>0</v>
      </c>
      <c r="L34" s="254">
        <v>0</v>
      </c>
      <c r="M34" s="254">
        <v>408988.79724162689</v>
      </c>
      <c r="N34" s="254">
        <f t="shared" ref="N34:N43" si="13">SUM(I34:M34)</f>
        <v>1819946.3484396017</v>
      </c>
      <c r="O34" s="254">
        <v>0</v>
      </c>
      <c r="P34" s="254">
        <v>0</v>
      </c>
    </row>
    <row r="35" spans="1:16">
      <c r="A35" s="184">
        <v>17</v>
      </c>
      <c r="B35" s="185" t="s">
        <v>135</v>
      </c>
      <c r="C35" s="253">
        <v>385332.01721650636</v>
      </c>
      <c r="D35" s="254">
        <v>110580.48461431972</v>
      </c>
      <c r="E35" s="254">
        <v>0</v>
      </c>
      <c r="F35" s="254">
        <v>59134.268896132067</v>
      </c>
      <c r="G35" s="255">
        <f t="shared" ref="G35:G38" si="14">SUM(C35:F35)</f>
        <v>555046.77072695806</v>
      </c>
      <c r="I35" s="254">
        <v>385332.01721650636</v>
      </c>
      <c r="J35" s="254">
        <v>0</v>
      </c>
      <c r="K35" s="254">
        <v>0</v>
      </c>
      <c r="L35" s="254">
        <v>0</v>
      </c>
      <c r="M35" s="254">
        <v>110580.48461431972</v>
      </c>
      <c r="N35" s="254">
        <f t="shared" si="13"/>
        <v>495912.50183082605</v>
      </c>
      <c r="O35" s="254">
        <v>59134.268896132067</v>
      </c>
      <c r="P35" s="254">
        <v>0</v>
      </c>
    </row>
    <row r="36" spans="1:16">
      <c r="A36" s="184">
        <v>18</v>
      </c>
      <c r="B36" s="185" t="s">
        <v>136</v>
      </c>
      <c r="C36" s="253">
        <v>0</v>
      </c>
      <c r="D36" s="254">
        <v>0</v>
      </c>
      <c r="E36" s="254">
        <v>0</v>
      </c>
      <c r="F36" s="254">
        <v>0</v>
      </c>
      <c r="G36" s="255">
        <f t="shared" si="14"/>
        <v>0</v>
      </c>
      <c r="I36" s="254">
        <v>0</v>
      </c>
      <c r="J36" s="254">
        <v>0</v>
      </c>
      <c r="K36" s="254">
        <v>0</v>
      </c>
      <c r="L36" s="254">
        <v>0</v>
      </c>
      <c r="M36" s="254">
        <v>0</v>
      </c>
      <c r="N36" s="254">
        <f t="shared" si="13"/>
        <v>0</v>
      </c>
      <c r="O36" s="254">
        <v>0</v>
      </c>
      <c r="P36" s="254">
        <v>0</v>
      </c>
    </row>
    <row r="37" spans="1:16">
      <c r="A37" s="184">
        <v>19</v>
      </c>
      <c r="B37" s="185" t="s">
        <v>159</v>
      </c>
      <c r="C37" s="253">
        <v>25814.138233481481</v>
      </c>
      <c r="D37" s="254">
        <v>7482.6442078123946</v>
      </c>
      <c r="E37" s="254">
        <v>0</v>
      </c>
      <c r="F37" s="254">
        <v>0</v>
      </c>
      <c r="G37" s="255">
        <f t="shared" si="14"/>
        <v>33296.782441293879</v>
      </c>
      <c r="I37" s="254">
        <v>25814.138233481481</v>
      </c>
      <c r="J37" s="254">
        <v>0</v>
      </c>
      <c r="K37" s="254">
        <v>0</v>
      </c>
      <c r="L37" s="254">
        <v>0</v>
      </c>
      <c r="M37" s="254">
        <v>7482.6442078123946</v>
      </c>
      <c r="N37" s="254">
        <f t="shared" si="13"/>
        <v>33296.782441293879</v>
      </c>
      <c r="O37" s="254">
        <v>0</v>
      </c>
      <c r="P37" s="254">
        <v>0</v>
      </c>
    </row>
    <row r="38" spans="1:16">
      <c r="A38" s="184">
        <v>20</v>
      </c>
      <c r="B38" s="185" t="s">
        <v>160</v>
      </c>
      <c r="C38" s="253">
        <v>0.63607063288007526</v>
      </c>
      <c r="D38" s="254">
        <v>0.18253608755613865</v>
      </c>
      <c r="E38" s="254">
        <v>0</v>
      </c>
      <c r="F38" s="254">
        <v>9.7613409115000507E-2</v>
      </c>
      <c r="G38" s="255">
        <f t="shared" si="14"/>
        <v>0.91622012955121446</v>
      </c>
      <c r="I38" s="254">
        <v>0.63607063288007526</v>
      </c>
      <c r="J38" s="254">
        <v>0</v>
      </c>
      <c r="K38" s="254">
        <v>0</v>
      </c>
      <c r="L38" s="254">
        <v>0</v>
      </c>
      <c r="M38" s="254">
        <v>0.18253608755613865</v>
      </c>
      <c r="N38" s="254">
        <f t="shared" si="13"/>
        <v>0.81860672043621396</v>
      </c>
      <c r="O38" s="254">
        <v>9.7613409115000507E-2</v>
      </c>
      <c r="P38" s="254">
        <v>0</v>
      </c>
    </row>
    <row r="39" spans="1:16">
      <c r="A39" s="184">
        <v>21</v>
      </c>
      <c r="B39" s="185" t="s">
        <v>161</v>
      </c>
      <c r="C39" s="253">
        <v>0</v>
      </c>
      <c r="D39" s="254">
        <v>0</v>
      </c>
      <c r="E39" s="254">
        <v>0</v>
      </c>
      <c r="F39" s="254">
        <v>0</v>
      </c>
      <c r="G39" s="255">
        <f>SUM(C39:F39)</f>
        <v>0</v>
      </c>
      <c r="I39" s="254">
        <v>0</v>
      </c>
      <c r="J39" s="254">
        <v>0</v>
      </c>
      <c r="K39" s="254">
        <v>0</v>
      </c>
      <c r="L39" s="254">
        <v>0</v>
      </c>
      <c r="M39" s="254">
        <v>0</v>
      </c>
      <c r="N39" s="254">
        <f t="shared" si="13"/>
        <v>0</v>
      </c>
      <c r="O39" s="254">
        <v>0</v>
      </c>
      <c r="P39" s="254">
        <v>0</v>
      </c>
    </row>
    <row r="40" spans="1:16">
      <c r="A40" s="184">
        <v>22</v>
      </c>
      <c r="B40" s="185" t="s">
        <v>140</v>
      </c>
      <c r="C40" s="253">
        <v>0</v>
      </c>
      <c r="D40" s="254">
        <v>0</v>
      </c>
      <c r="E40" s="254">
        <v>0</v>
      </c>
      <c r="F40" s="254">
        <v>0</v>
      </c>
      <c r="G40" s="255">
        <f>SUM(C40:F40)</f>
        <v>0</v>
      </c>
      <c r="I40" s="254">
        <v>0</v>
      </c>
      <c r="J40" s="254">
        <v>0</v>
      </c>
      <c r="K40" s="254">
        <v>0</v>
      </c>
      <c r="L40" s="254">
        <v>0</v>
      </c>
      <c r="M40" s="254">
        <v>0</v>
      </c>
      <c r="N40" s="254">
        <f t="shared" si="13"/>
        <v>0</v>
      </c>
      <c r="O40" s="254">
        <v>0</v>
      </c>
      <c r="P40" s="254">
        <v>0</v>
      </c>
    </row>
    <row r="41" spans="1:16">
      <c r="A41" s="184">
        <v>23</v>
      </c>
      <c r="B41" s="185" t="s">
        <v>162</v>
      </c>
      <c r="C41" s="253">
        <v>359708.11107913172</v>
      </c>
      <c r="D41" s="254">
        <v>106034.39081099138</v>
      </c>
      <c r="E41" s="254">
        <v>0</v>
      </c>
      <c r="F41" s="254">
        <v>56703.189539492625</v>
      </c>
      <c r="G41" s="255">
        <f t="shared" ref="G41:G43" si="15">SUM(C41:F41)</f>
        <v>522445.69142961572</v>
      </c>
      <c r="I41" s="254">
        <v>359708.11107913172</v>
      </c>
      <c r="J41" s="254">
        <v>0</v>
      </c>
      <c r="K41" s="254">
        <v>0</v>
      </c>
      <c r="L41" s="254">
        <v>0</v>
      </c>
      <c r="M41" s="254">
        <v>106034.39081099138</v>
      </c>
      <c r="N41" s="254">
        <f t="shared" si="13"/>
        <v>465742.50189012312</v>
      </c>
      <c r="O41" s="254">
        <v>56703.189539492625</v>
      </c>
      <c r="P41" s="254">
        <v>0</v>
      </c>
    </row>
    <row r="42" spans="1:16">
      <c r="A42" s="184">
        <v>24</v>
      </c>
      <c r="B42" s="185" t="s">
        <v>163</v>
      </c>
      <c r="C42" s="253">
        <v>1504248.1452332949</v>
      </c>
      <c r="D42" s="254">
        <v>436030.58018971561</v>
      </c>
      <c r="E42" s="254">
        <v>0</v>
      </c>
      <c r="F42" s="254">
        <v>0</v>
      </c>
      <c r="G42" s="255">
        <f t="shared" si="15"/>
        <v>1940278.7254230105</v>
      </c>
      <c r="I42" s="254">
        <v>1504248.1452332949</v>
      </c>
      <c r="J42" s="254">
        <v>0</v>
      </c>
      <c r="K42" s="254">
        <v>0</v>
      </c>
      <c r="L42" s="254">
        <v>0</v>
      </c>
      <c r="M42" s="254">
        <v>436030.58018971561</v>
      </c>
      <c r="N42" s="254">
        <f t="shared" si="13"/>
        <v>1940278.7254230105</v>
      </c>
      <c r="O42" s="254">
        <v>0</v>
      </c>
      <c r="P42" s="254">
        <v>0</v>
      </c>
    </row>
    <row r="43" spans="1:16">
      <c r="A43" s="184">
        <v>25</v>
      </c>
      <c r="B43" s="185" t="s">
        <v>164</v>
      </c>
      <c r="C43" s="253">
        <v>184303.02995155111</v>
      </c>
      <c r="D43" s="254">
        <v>53455.853980027685</v>
      </c>
      <c r="E43" s="254">
        <v>0</v>
      </c>
      <c r="F43" s="254">
        <v>5791.8778024516905</v>
      </c>
      <c r="G43" s="255">
        <f t="shared" si="15"/>
        <v>243550.7617340305</v>
      </c>
      <c r="I43" s="254">
        <v>184303.02995155111</v>
      </c>
      <c r="J43" s="254">
        <v>0</v>
      </c>
      <c r="K43" s="254">
        <v>0</v>
      </c>
      <c r="L43" s="254">
        <v>0</v>
      </c>
      <c r="M43" s="254">
        <v>53455.853980027685</v>
      </c>
      <c r="N43" s="254">
        <f t="shared" si="13"/>
        <v>237758.88393157881</v>
      </c>
      <c r="O43" s="254">
        <v>5791.8778024516905</v>
      </c>
      <c r="P43" s="254">
        <v>0</v>
      </c>
    </row>
    <row r="44" spans="1:16">
      <c r="A44" s="184"/>
      <c r="B44" s="186" t="s">
        <v>165</v>
      </c>
      <c r="C44" s="256">
        <f>SUM(C34:C43)</f>
        <v>3870363.6289825728</v>
      </c>
      <c r="D44" s="257">
        <f>SUM(D34:D43)</f>
        <v>1122572.9335805811</v>
      </c>
      <c r="E44" s="257">
        <f>SUM(E34:E43)</f>
        <v>0</v>
      </c>
      <c r="F44" s="257">
        <f>SUM(F34:F43)</f>
        <v>121629.4338514855</v>
      </c>
      <c r="G44" s="258">
        <f>SUM(G34:G43)</f>
        <v>5114565.99641464</v>
      </c>
      <c r="I44" s="257">
        <f>SUM(I34:I43)</f>
        <v>3870363.6289825728</v>
      </c>
      <c r="J44" s="257">
        <f t="shared" ref="J44:P44" si="16">SUM(J34:J43)</f>
        <v>0</v>
      </c>
      <c r="K44" s="257">
        <f t="shared" si="16"/>
        <v>0</v>
      </c>
      <c r="L44" s="257">
        <f t="shared" si="16"/>
        <v>0</v>
      </c>
      <c r="M44" s="257">
        <f t="shared" si="16"/>
        <v>1122572.9335805811</v>
      </c>
      <c r="N44" s="257">
        <f t="shared" si="16"/>
        <v>4992936.5625631548</v>
      </c>
      <c r="O44" s="257">
        <f t="shared" si="16"/>
        <v>121629.4338514855</v>
      </c>
      <c r="P44" s="257">
        <f t="shared" si="16"/>
        <v>0</v>
      </c>
    </row>
    <row r="45" spans="1:16">
      <c r="A45" s="184">
        <v>26</v>
      </c>
      <c r="B45" s="185" t="s">
        <v>143</v>
      </c>
      <c r="C45" s="253">
        <v>459108.57728099212</v>
      </c>
      <c r="D45" s="254">
        <v>472584.11205818434</v>
      </c>
      <c r="E45" s="254">
        <v>0</v>
      </c>
      <c r="F45" s="254">
        <v>0</v>
      </c>
      <c r="G45" s="255">
        <f t="shared" ref="G45:G47" si="17">SUM(C45:F45)</f>
        <v>931692.68933917652</v>
      </c>
      <c r="I45" s="254">
        <v>459108.57728099212</v>
      </c>
      <c r="J45" s="254">
        <v>0</v>
      </c>
      <c r="K45" s="254">
        <v>0</v>
      </c>
      <c r="L45" s="254">
        <v>0</v>
      </c>
      <c r="M45" s="254">
        <v>472584.11205818434</v>
      </c>
      <c r="N45" s="254">
        <f>SUM(I45:M45)</f>
        <v>931692.68933917652</v>
      </c>
      <c r="O45" s="254">
        <v>0</v>
      </c>
      <c r="P45" s="254">
        <v>0</v>
      </c>
    </row>
    <row r="46" spans="1:16">
      <c r="A46" s="184">
        <v>27</v>
      </c>
      <c r="B46" s="185" t="s">
        <v>144</v>
      </c>
      <c r="C46" s="253">
        <v>631432.32999999996</v>
      </c>
      <c r="D46" s="254">
        <v>493584.68</v>
      </c>
      <c r="E46" s="254">
        <v>86331</v>
      </c>
      <c r="F46" s="254">
        <v>137075</v>
      </c>
      <c r="G46" s="255">
        <f t="shared" si="17"/>
        <v>1348423.01</v>
      </c>
      <c r="I46" s="254">
        <v>446723.28</v>
      </c>
      <c r="J46" s="254">
        <v>184709.05</v>
      </c>
      <c r="K46" s="254">
        <v>86331</v>
      </c>
      <c r="L46" s="254">
        <v>266787</v>
      </c>
      <c r="M46" s="254">
        <v>226797.68</v>
      </c>
      <c r="N46" s="254">
        <v>1211348.01</v>
      </c>
      <c r="O46" s="254">
        <v>50967</v>
      </c>
      <c r="P46" s="254">
        <v>86108</v>
      </c>
    </row>
    <row r="47" spans="1:16">
      <c r="A47" s="184">
        <v>28</v>
      </c>
      <c r="B47" s="187" t="s">
        <v>145</v>
      </c>
      <c r="C47" s="259">
        <v>0</v>
      </c>
      <c r="D47" s="260">
        <v>0</v>
      </c>
      <c r="E47" s="260">
        <v>0</v>
      </c>
      <c r="F47" s="260">
        <v>0</v>
      </c>
      <c r="G47" s="261">
        <f t="shared" si="17"/>
        <v>0</v>
      </c>
      <c r="I47" s="260">
        <v>0</v>
      </c>
      <c r="J47" s="260">
        <v>0</v>
      </c>
      <c r="K47" s="260">
        <v>0</v>
      </c>
      <c r="L47" s="260">
        <v>0</v>
      </c>
      <c r="M47" s="260">
        <v>0</v>
      </c>
      <c r="N47" s="260">
        <f>SUM(I47:M47)</f>
        <v>0</v>
      </c>
      <c r="O47" s="260">
        <v>0</v>
      </c>
      <c r="P47" s="260">
        <v>0</v>
      </c>
    </row>
    <row r="48" spans="1:16">
      <c r="A48" s="184"/>
      <c r="B48" s="188" t="s">
        <v>166</v>
      </c>
      <c r="C48" s="262">
        <f>SUM(C45:C47)</f>
        <v>1090540.907280992</v>
      </c>
      <c r="D48" s="263">
        <f>SUM(D45:D47)</f>
        <v>966168.79205818428</v>
      </c>
      <c r="E48" s="263">
        <f>SUM(E45:E47)</f>
        <v>86331</v>
      </c>
      <c r="F48" s="263">
        <f>SUM(F45:F47)</f>
        <v>137075</v>
      </c>
      <c r="G48" s="264">
        <f>SUM(G45:G47)</f>
        <v>2280115.6993391765</v>
      </c>
      <c r="I48" s="263">
        <f>SUM(I45:I47)</f>
        <v>905831.8572809922</v>
      </c>
      <c r="J48" s="263">
        <f t="shared" ref="J48:P48" si="18">SUM(J45:J47)</f>
        <v>184709.05</v>
      </c>
      <c r="K48" s="263">
        <f t="shared" si="18"/>
        <v>86331</v>
      </c>
      <c r="L48" s="263">
        <f t="shared" si="18"/>
        <v>266787</v>
      </c>
      <c r="M48" s="263">
        <f t="shared" si="18"/>
        <v>699381.79205818428</v>
      </c>
      <c r="N48" s="263">
        <f t="shared" si="18"/>
        <v>2143040.6993391765</v>
      </c>
      <c r="O48" s="263">
        <f t="shared" si="18"/>
        <v>50967</v>
      </c>
      <c r="P48" s="263">
        <f t="shared" si="18"/>
        <v>86108</v>
      </c>
    </row>
    <row r="49" spans="1:16" ht="15" thickBot="1">
      <c r="A49" s="208"/>
      <c r="B49" s="189" t="s">
        <v>167</v>
      </c>
      <c r="C49" s="265">
        <f>C44/C48</f>
        <v>3.5490311304620539</v>
      </c>
      <c r="D49" s="266">
        <f>D44/D48</f>
        <v>1.161880763286937</v>
      </c>
      <c r="E49" s="266">
        <f>E44/E48</f>
        <v>0</v>
      </c>
      <c r="F49" s="266">
        <f>F44/F48</f>
        <v>0.88732032720397958</v>
      </c>
      <c r="G49" s="267">
        <f>G44/G48</f>
        <v>2.2431168724889461</v>
      </c>
      <c r="H49" s="288"/>
      <c r="I49" s="266">
        <f>IFERROR(I44/I48,"n/a")</f>
        <v>4.2727175003539015</v>
      </c>
      <c r="J49" s="266">
        <f t="shared" ref="J49:P49" si="19">IFERROR(J44/J48,"n/a")</f>
        <v>0</v>
      </c>
      <c r="K49" s="266">
        <f t="shared" si="19"/>
        <v>0</v>
      </c>
      <c r="L49" s="266">
        <f t="shared" si="19"/>
        <v>0</v>
      </c>
      <c r="M49" s="266">
        <f t="shared" si="19"/>
        <v>1.6050931641743253</v>
      </c>
      <c r="N49" s="266">
        <f t="shared" si="19"/>
        <v>2.329837489368618</v>
      </c>
      <c r="O49" s="266">
        <f t="shared" si="19"/>
        <v>2.3864350236718956</v>
      </c>
      <c r="P49" s="266">
        <f t="shared" si="19"/>
        <v>0</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E16" sqref="E16"/>
    </sheetView>
  </sheetViews>
  <sheetFormatPr defaultRowHeight="14.5"/>
  <sheetData>
    <row r="2" spans="2:2">
      <c r="B2" s="192" t="s">
        <v>168</v>
      </c>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election activeCell="A20" sqref="A20"/>
    </sheetView>
  </sheetViews>
  <sheetFormatPr defaultRowHeight="14.5"/>
  <cols>
    <col min="1" max="1" width="51.7265625" bestFit="1" customWidth="1"/>
    <col min="3" max="3" width="7.453125" bestFit="1" customWidth="1"/>
  </cols>
  <sheetData>
    <row r="1" spans="1:1">
      <c r="A1" s="112" t="s">
        <v>170</v>
      </c>
    </row>
    <row r="2" spans="1:1">
      <c r="A2" s="19" t="s">
        <v>4</v>
      </c>
    </row>
    <row r="3" spans="1:1">
      <c r="A3" s="19" t="s">
        <v>172</v>
      </c>
    </row>
    <row r="4" spans="1:1">
      <c r="A4" s="19" t="s">
        <v>13</v>
      </c>
    </row>
    <row r="5" spans="1:1">
      <c r="A5" s="19" t="s">
        <v>173</v>
      </c>
    </row>
    <row r="7" spans="1:1">
      <c r="A7" s="112" t="s">
        <v>17</v>
      </c>
    </row>
    <row r="8" spans="1:1">
      <c r="A8" s="19" t="s">
        <v>30</v>
      </c>
    </row>
    <row r="9" spans="1:1">
      <c r="A9" s="19" t="s">
        <v>32</v>
      </c>
    </row>
    <row r="10" spans="1:1">
      <c r="A10" s="19" t="s">
        <v>13</v>
      </c>
    </row>
    <row r="12" spans="1:1">
      <c r="A12" s="112" t="s">
        <v>171</v>
      </c>
    </row>
    <row r="13" spans="1:1">
      <c r="A13" s="19" t="s">
        <v>34</v>
      </c>
    </row>
    <row r="14" spans="1:1">
      <c r="A14" s="19" t="s">
        <v>33</v>
      </c>
    </row>
    <row r="15" spans="1:1">
      <c r="A15" s="19" t="s">
        <v>32</v>
      </c>
    </row>
    <row r="17" spans="1:1">
      <c r="A17" s="112" t="s">
        <v>174</v>
      </c>
    </row>
    <row r="18" spans="1:1">
      <c r="A18" s="113" t="s">
        <v>175</v>
      </c>
    </row>
    <row r="19" spans="1:1">
      <c r="A19" s="113" t="s">
        <v>176</v>
      </c>
    </row>
    <row r="20" spans="1:1">
      <c r="A20" s="113" t="s">
        <v>177</v>
      </c>
    </row>
    <row r="21" spans="1:1">
      <c r="A21" s="113" t="s">
        <v>178</v>
      </c>
    </row>
    <row r="22" spans="1:1">
      <c r="A22" s="113" t="s">
        <v>179</v>
      </c>
    </row>
    <row r="23" spans="1:1">
      <c r="A23" s="113" t="s">
        <v>109</v>
      </c>
    </row>
    <row r="24" spans="1:1">
      <c r="A24" s="113" t="s">
        <v>180</v>
      </c>
    </row>
    <row r="27" spans="1:1">
      <c r="A27" s="114" t="s">
        <v>181</v>
      </c>
    </row>
    <row r="28" spans="1:1">
      <c r="A28" s="115" t="s">
        <v>182</v>
      </c>
    </row>
    <row r="29" spans="1:1">
      <c r="A29" s="115" t="s">
        <v>183</v>
      </c>
    </row>
    <row r="30" spans="1:1">
      <c r="A30" s="115" t="s">
        <v>184</v>
      </c>
    </row>
    <row r="31" spans="1:1">
      <c r="A31" s="115" t="s">
        <v>185</v>
      </c>
    </row>
    <row r="32" spans="1:1">
      <c r="A32" s="115" t="s">
        <v>186</v>
      </c>
    </row>
    <row r="33" spans="1:1">
      <c r="A33" s="115" t="s">
        <v>187</v>
      </c>
    </row>
    <row r="34" spans="1:1">
      <c r="A34" s="115" t="s">
        <v>169</v>
      </c>
    </row>
    <row r="35" spans="1:1">
      <c r="A35" s="115" t="s">
        <v>188</v>
      </c>
    </row>
    <row r="36" spans="1:1">
      <c r="A36" s="115" t="s">
        <v>189</v>
      </c>
    </row>
    <row r="37" spans="1:1">
      <c r="A37" s="115" t="s">
        <v>190</v>
      </c>
    </row>
    <row r="38" spans="1:1">
      <c r="A38" s="115" t="s">
        <v>191</v>
      </c>
    </row>
    <row r="39" spans="1:1">
      <c r="A39" s="115" t="s">
        <v>192</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6" ma:contentTypeDescription="Create a new document." ma:contentTypeScope="" ma:versionID="8a3035749d84f1ec8ef0acfe3243cc51">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a5df3301cb69bff59dcebdd055577f15"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schemas.microsoft.com/office/infopath/2007/PartnerControls"/>
    <ds:schemaRef ds:uri="http://schemas.microsoft.com/office/2006/documentManagement/types"/>
    <ds:schemaRef ds:uri="ba291332-5843-45d8-bfc3-9844fb3e26da"/>
    <ds:schemaRef ds:uri="http://www.w3.org/XML/1998/namespace"/>
    <ds:schemaRef ds:uri="http://purl.org/dc/terms/"/>
    <ds:schemaRef ds:uri="39c968e2-ee87-41b9-8fa8-4cd604c6e882"/>
    <ds:schemaRef ds:uri="http://purl.org/dc/dcmitype/"/>
    <ds:schemaRef ds:uri="http://purl.org/dc/elements/1.1/"/>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8AF08385-763C-4253-BA49-E27DBF982D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Table 8</vt:lpstr>
      <vt:lpstr>Qtr Electric Master</vt:lpstr>
      <vt:lpstr>Qtr Electric LMI</vt:lpstr>
      <vt:lpstr>Qtr Electric Business</vt:lpstr>
      <vt:lpstr>AP F - Secondary Metrics</vt:lpstr>
      <vt:lpstr>AP G - Transfer</vt:lpstr>
      <vt:lpstr>AP H - CostTest</vt:lpstr>
      <vt:lpstr>AP I - Program Changes</vt:lpstr>
      <vt:lpstr>Lookup_Sheet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2023-07-07T13:22:09Z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6490586b-6766-439a-826f-fa6da183971c_Enabled">
    <vt:lpwstr>true</vt:lpwstr>
  </property>
  <property fmtid="{D5CDD505-2E9C-101B-9397-08002B2CF9AE}" pid="4" name="MSIP_Label_6490586b-6766-439a-826f-fa6da183971c_SetDate">
    <vt:lpwstr>2021-11-22T15:20:19Z</vt:lpwstr>
  </property>
  <property fmtid="{D5CDD505-2E9C-101B-9397-08002B2CF9AE}" pid="5" name="MSIP_Label_6490586b-6766-439a-826f-fa6da183971c_Method">
    <vt:lpwstr>Standard</vt:lpwstr>
  </property>
  <property fmtid="{D5CDD505-2E9C-101B-9397-08002B2CF9AE}" pid="6" name="MSIP_Label_6490586b-6766-439a-826f-fa6da183971c_Name">
    <vt:lpwstr>General</vt:lpwstr>
  </property>
  <property fmtid="{D5CDD505-2E9C-101B-9397-08002B2CF9AE}" pid="7" name="MSIP_Label_6490586b-6766-439a-826f-fa6da183971c_SiteId">
    <vt:lpwstr>e9aef9b7-25ca-4518-a881-33e546773136</vt:lpwstr>
  </property>
  <property fmtid="{D5CDD505-2E9C-101B-9397-08002B2CF9AE}" pid="8" name="MSIP_Label_6490586b-6766-439a-826f-fa6da183971c_ActionId">
    <vt:lpwstr>9a51a7d5-338f-41a9-8334-0000a96aa601</vt:lpwstr>
  </property>
  <property fmtid="{D5CDD505-2E9C-101B-9397-08002B2CF9AE}" pid="9" name="MSIP_Label_6490586b-6766-439a-826f-fa6da183971c_ContentBits">
    <vt:lpwstr>0</vt:lpwstr>
  </property>
</Properties>
</file>