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1 2023/Final Published Reports/"/>
    </mc:Choice>
  </mc:AlternateContent>
  <bookViews>
    <workbookView xWindow="0" yWindow="0" windowWidth="28800" windowHeight="12450" firstSheet="1" activeTab="1"/>
  </bookViews>
  <sheets>
    <sheet name="Wholesale Annual Electric (Orig" sheetId="25" state="hidden" r:id="rId1"/>
    <sheet name="Qtr Electric Master" sheetId="27" r:id="rId2"/>
    <sheet name="Table 8" sheetId="47" state="hidden" r:id="rId3"/>
    <sheet name="Sheet1" sheetId="48" state="hidden" r:id="rId4"/>
    <sheet name="Qtr Electric LMI" sheetId="50" r:id="rId5"/>
    <sheet name="Qtr Electric Business Class" sheetId="30" r:id="rId6"/>
    <sheet name="Do Not Use" sheetId="32" state="hidden" r:id="rId7"/>
    <sheet name="AP F -TRM Secondary Metrics" sheetId="40" state="hidden" r:id="rId8"/>
    <sheet name="AP G - Transfer" sheetId="41" state="hidden" r:id="rId9"/>
    <sheet name="AP H - CostTest" sheetId="39" state="hidden" r:id="rId10"/>
    <sheet name="Notes" sheetId="54" state="hidden" r:id="rId11"/>
  </sheets>
  <definedNames>
    <definedName name="\B">#REF!</definedName>
    <definedName name="\C">#REF!</definedName>
    <definedName name="\D">#REF!</definedName>
    <definedName name="\E">#REF!</definedName>
    <definedName name="\M">#REF!</definedName>
    <definedName name="\O">#REF!</definedName>
    <definedName name="\P">#REF!</definedName>
    <definedName name="\Q">#REF!</definedName>
    <definedName name="\R">#REF!</definedName>
    <definedName name="\S">#REF!</definedName>
    <definedName name="\U">#REF!</definedName>
    <definedName name="\V">#REF!</definedName>
    <definedName name="\W">#REF!</definedName>
    <definedName name="_________DAT4">#REF!</definedName>
    <definedName name="_______DAT4">#REF!</definedName>
    <definedName name="____DAT4">#REF!</definedName>
    <definedName name="____New2">#REF!</definedName>
    <definedName name="____New3">#REF!</definedName>
    <definedName name="____New4">#REF!</definedName>
    <definedName name="___Key2" hidden="1">#REF!</definedName>
    <definedName name="___New2">#REF!</definedName>
    <definedName name="___New3">#REF!</definedName>
    <definedName name="___New4">#REF!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AAL1">#REF!</definedName>
    <definedName name="__DAT4">#REF!</definedName>
    <definedName name="__Key2" hidden="1">#REF!</definedName>
    <definedName name="__mm1">#REF!</definedName>
    <definedName name="__mm10">#REF!</definedName>
    <definedName name="__mm11">#REF!</definedName>
    <definedName name="__mm12">#REF!</definedName>
    <definedName name="__mm13">#REF!</definedName>
    <definedName name="__mm14">#REF!</definedName>
    <definedName name="__mm15">#REF!</definedName>
    <definedName name="__mm16">#REF!</definedName>
    <definedName name="__mm17">#REF!</definedName>
    <definedName name="__mm18">#REF!</definedName>
    <definedName name="__mm19">#REF!</definedName>
    <definedName name="__mm2">#REF!</definedName>
    <definedName name="__mm3">#REF!</definedName>
    <definedName name="__mm4">#REF!</definedName>
    <definedName name="__mm5">#REF!</definedName>
    <definedName name="__mm7">#REF!</definedName>
    <definedName name="__mm8">#REF!</definedName>
    <definedName name="__mm9">#REF!</definedName>
    <definedName name="__New2">#REF!</definedName>
    <definedName name="__New3">#REF!</definedName>
    <definedName name="__New4">#REF!</definedName>
    <definedName name="__ryr56565" hidden="1">{#N/A,#N/A,FALSE,"Monthly SAIFI";#N/A,#N/A,FALSE,"Yearly SAIFI";#N/A,#N/A,FALSE,"Monthly CAIDI";#N/A,#N/A,FALSE,"Yearly CAIDI";#N/A,#N/A,FALSE,"Monthly SAIDI";#N/A,#N/A,FALSE,"Yearly SAIDI";#N/A,#N/A,FALSE,"Monthly MAIFI";#N/A,#N/A,FALSE,"Yearly MAIFI";#N/A,#N/A,FALSE,"Monthly Cust &gt;=4 Int"}</definedName>
    <definedName name="__zc22">#REF!</definedName>
    <definedName name="_20_MWS">#REF!</definedName>
    <definedName name="_21_MWS">#REF!</definedName>
    <definedName name="_23_MWS">#REF!</definedName>
    <definedName name="_24_MWS">#REF!</definedName>
    <definedName name="_35_MWS">#REF!</definedName>
    <definedName name="_38_0_0_K" hidden="1">#REF!</definedName>
    <definedName name="_39_0_0_S" hidden="1">#REF!</definedName>
    <definedName name="_40_MWS">#REF!</definedName>
    <definedName name="_44_0_0_K" hidden="1">#REF!</definedName>
    <definedName name="_45_0_0_K" hidden="1">#REF!</definedName>
    <definedName name="_45_MWS">#REF!</definedName>
    <definedName name="_50_MWS">#REF!</definedName>
    <definedName name="_52_0_0_S" hidden="1">#REF!</definedName>
    <definedName name="_53_0_0_S" hidden="1">#REF!</definedName>
    <definedName name="_55_MWS">#REF!</definedName>
    <definedName name="_AAL1">#REF!</definedName>
    <definedName name="_ALT_PPONU_D__Q">#REF!</definedName>
    <definedName name="_DAT1">#REF!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Fill" hidden="1">#REF!</definedName>
    <definedName name="_Fill09" hidden="1">#REF!</definedName>
    <definedName name="_Fill2009" hidden="1">#REF!</definedName>
    <definedName name="_Key1" hidden="1">#REF!</definedName>
    <definedName name="_Key2" hidden="1">#REF!</definedName>
    <definedName name="_mm1">#REF!</definedName>
    <definedName name="_mm10">#REF!</definedName>
    <definedName name="_mm11">#REF!</definedName>
    <definedName name="_mm12">#REF!</definedName>
    <definedName name="_mm13">#REF!</definedName>
    <definedName name="_mm14">#REF!</definedName>
    <definedName name="_mm15">#REF!</definedName>
    <definedName name="_mm16">#REF!</definedName>
    <definedName name="_mm17">#REF!</definedName>
    <definedName name="_mm18">#REF!</definedName>
    <definedName name="_mm19">#REF!</definedName>
    <definedName name="_mm2">#REF!</definedName>
    <definedName name="_mm3">#REF!</definedName>
    <definedName name="_mm4">#REF!</definedName>
    <definedName name="_mm5">#REF!</definedName>
    <definedName name="_mm7">#REF!</definedName>
    <definedName name="_mm8">#REF!</definedName>
    <definedName name="_mm9">#REF!</definedName>
    <definedName name="_New2">#REF!</definedName>
    <definedName name="_New3">#REF!</definedName>
    <definedName name="_New4">#REF!</definedName>
    <definedName name="_Order1" hidden="1">0</definedName>
    <definedName name="_Order2" hidden="1">255</definedName>
    <definedName name="_ryr56565" hidden="1">{#N/A,#N/A,FALSE,"Monthly SAIFI";#N/A,#N/A,FALSE,"Yearly SAIFI";#N/A,#N/A,FALSE,"Monthly CAIDI";#N/A,#N/A,FALSE,"Yearly CAIDI";#N/A,#N/A,FALSE,"Monthly SAIDI";#N/A,#N/A,FALSE,"Yearly SAIDI";#N/A,#N/A,FALSE,"Monthly MAIFI";#N/A,#N/A,FALSE,"Yearly MAIFI";#N/A,#N/A,FALSE,"Monthly Cust &gt;=4 Int"}</definedName>
    <definedName name="_Sort" hidden="1">#REF!</definedName>
    <definedName name="_WORLDOX">#REF!</definedName>
    <definedName name="a" hidden="1">{#N/A,#N/A,FALSE,"Monthly SAIFI";#N/A,#N/A,FALSE,"Yearly SAIFI";#N/A,#N/A,FALSE,"Monthly CAIDI";#N/A,#N/A,FALSE,"Yearly CAIDI";#N/A,#N/A,FALSE,"Monthly SAIDI";#N/A,#N/A,FALSE,"Yearly SAIDI";#N/A,#N/A,FALSE,"Monthly MAIFI";#N/A,#N/A,FALSE,"Yearly MAIFI";#N/A,#N/A,FALSE,"Monthly Cust &gt;=4 Int"}</definedName>
    <definedName name="aa" hidden="1">{#N/A,#N/A,FALSE,"Monthly SAIFI";#N/A,#N/A,FALSE,"Yearly SAIFI";#N/A,#N/A,FALSE,"Monthly CAIDI";#N/A,#N/A,FALSE,"Yearly CAIDI";#N/A,#N/A,FALSE,"Monthly SAIDI";#N/A,#N/A,FALSE,"Yearly SAIDI";#N/A,#N/A,FALSE,"Monthly MAIFI";#N/A,#N/A,FALSE,"Yearly MAIFI";#N/A,#N/A,FALSE,"Monthly Cust &gt;=4 Int"}</definedName>
    <definedName name="AAL">#REF!</definedName>
    <definedName name="AALDR">#REF!</definedName>
    <definedName name="AALSAP">#REF!</definedName>
    <definedName name="ac" hidden="1">{#N/A,#N/A,FALSE,"Monthly SAIFI";#N/A,#N/A,FALSE,"Yearly SAIFI";#N/A,#N/A,FALSE,"Monthly CAIDI";#N/A,#N/A,FALSE,"Yearly CAIDI";#N/A,#N/A,FALSE,"Monthly SAIDI";#N/A,#N/A,FALSE,"Yearly SAIDI";#N/A,#N/A,FALSE,"Monthly MAIFI";#N/A,#N/A,FALSE,"Yearly MAIFI";#N/A,#N/A,FALSE,"Monthly Cust &gt;=4 Int"}</definedName>
    <definedName name="ACCTG_SERV">#REF!</definedName>
    <definedName name="acx" hidden="1">{#N/A,#N/A,FALSE,"Monthly SAIFI";#N/A,#N/A,FALSE,"Yearly SAIFI";#N/A,#N/A,FALSE,"Monthly CAIDI";#N/A,#N/A,FALSE,"Yearly CAIDI";#N/A,#N/A,FALSE,"Monthly SAIDI";#N/A,#N/A,FALSE,"Yearly SAIDI";#N/A,#N/A,FALSE,"Monthly MAIFI";#N/A,#N/A,FALSE,"Yearly MAIFI";#N/A,#N/A,FALSE,"Monthly Cust &gt;=4 Int"}</definedName>
    <definedName name="adfsadfds" hidden="1">{#N/A,#N/A,FALSE,"Monthly SAIFI";#N/A,#N/A,FALSE,"Yearly SAIFI";#N/A,#N/A,FALSE,"Monthly CAIDI";#N/A,#N/A,FALSE,"Yearly CAIDI";#N/A,#N/A,FALSE,"Monthly SAIDI";#N/A,#N/A,FALSE,"Yearly SAIDI";#N/A,#N/A,FALSE,"Monthly MAIFI";#N/A,#N/A,FALSE,"Yearly MAIFI";#N/A,#N/A,FALSE,"Monthly Cust &gt;=4 Int"}</definedName>
    <definedName name="AIP" hidden="1">{#N/A,#N/A,FALSE,"Monthly SAIFI";#N/A,#N/A,FALSE,"Yearly SAIFI";#N/A,#N/A,FALSE,"Monthly CAIDI";#N/A,#N/A,FALSE,"Yearly CAIDI";#N/A,#N/A,FALSE,"Monthly SAIDI";#N/A,#N/A,FALSE,"Yearly SAIDI";#N/A,#N/A,FALSE,"Monthly MAIFI";#N/A,#N/A,FALSE,"Yearly MAIFI";#N/A,#N/A,FALSE,"Monthly Cust &gt;=4 Int"}</definedName>
    <definedName name="aircgrtm1">#REF!</definedName>
    <definedName name="aircgrtm2">#REF!</definedName>
    <definedName name="aircgrtm3">#REF!</definedName>
    <definedName name="aircgrtm4">#REF!</definedName>
    <definedName name="airctm1">#REF!</definedName>
    <definedName name="airctm2">#REF!</definedName>
    <definedName name="airctm3">#REF!</definedName>
    <definedName name="airctm4">#REF!</definedName>
    <definedName name="ALERT1">#REF!</definedName>
    <definedName name="ALERT2">#REF!</definedName>
    <definedName name="ALERT3">#REF!</definedName>
    <definedName name="ALL_SENS_FACT">#REF!</definedName>
    <definedName name="ALLYRS_MESSAGE">#REF!</definedName>
    <definedName name="alsdfa" hidden="1">{#N/A,#N/A,FALSE,"Monthly SAIFI";#N/A,#N/A,FALSE,"Yearly SAIFI";#N/A,#N/A,FALSE,"Monthly CAIDI";#N/A,#N/A,FALSE,"Yearly CAIDI";#N/A,#N/A,FALSE,"Monthly SAIDI";#N/A,#N/A,FALSE,"Yearly SAIDI";#N/A,#N/A,FALSE,"Monthly MAIFI";#N/A,#N/A,FALSE,"Yearly MAIFI";#N/A,#N/A,FALSE,"Monthly Cust &gt;=4 Int"}</definedName>
    <definedName name="anish">#REF!</definedName>
    <definedName name="anish21212">#REF!</definedName>
    <definedName name="Annual">#REF!</definedName>
    <definedName name="anscount" hidden="1">1</definedName>
    <definedName name="APA">#REF!</definedName>
    <definedName name="Apr">#REF!</definedName>
    <definedName name="apr2pre">#REF!</definedName>
    <definedName name="April">#REF!</definedName>
    <definedName name="APV">#REF!</definedName>
    <definedName name="AS2DocOpenMode" hidden="1">"AS2DocumentEdit"</definedName>
    <definedName name="ASD">#REF!</definedName>
    <definedName name="asdada">#REF!</definedName>
    <definedName name="asdasda">#REF!</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dfasfasf">#REF!</definedName>
    <definedName name="asdfsd">#REF!</definedName>
    <definedName name="asfas">#REF!</definedName>
    <definedName name="asfasdfasfasfsadf">#REF!</definedName>
    <definedName name="asfsdfsdfsdfsfwer">#REF!</definedName>
    <definedName name="asfsdfsfs">#REF!</definedName>
    <definedName name="asfsft">#REF!</definedName>
    <definedName name="ashaita" hidden="1">{#N/A,#N/A,FALSE,"Monthly SAIFI";#N/A,#N/A,FALSE,"Yearly SAIFI";#N/A,#N/A,FALSE,"Monthly CAIDI";#N/A,#N/A,FALSE,"Yearly CAIDI";#N/A,#N/A,FALSE,"Monthly SAIDI";#N/A,#N/A,FALSE,"Yearly SAIDI";#N/A,#N/A,FALSE,"Monthly MAIFI";#N/A,#N/A,FALSE,"Yearly MAIFI";#N/A,#N/A,FALSE,"Monthly Cust &gt;=4 Int"}</definedName>
    <definedName name="ashia">#REF!</definedName>
    <definedName name="ashita">#REF!</definedName>
    <definedName name="asrada">#REF!</definedName>
    <definedName name="assd" hidden="1">{#N/A,#N/A,FALSE,"Monthly SAIFI";#N/A,#N/A,FALSE,"Yearly SAIFI";#N/A,#N/A,FALSE,"Monthly CAIDI";#N/A,#N/A,FALSE,"Yearly CAIDI";#N/A,#N/A,FALSE,"Monthly SAIDI";#N/A,#N/A,FALSE,"Yearly SAIDI";#N/A,#N/A,FALSE,"Monthly MAIFI";#N/A,#N/A,FALSE,"Yearly MAIFI";#N/A,#N/A,FALSE,"Monthly Cust &gt;=4 Int"}</definedName>
    <definedName name="Asset_Management">#REF!</definedName>
    <definedName name="Asset_Management_">#REF!</definedName>
    <definedName name="Aug">#REF!</definedName>
    <definedName name="AugNEW">#REF!</definedName>
    <definedName name="August">#REF!</definedName>
    <definedName name="b" hidden="1">{#N/A,#N/A,FALSE,"Monthly SAIFI";#N/A,#N/A,FALSE,"Yearly SAIFI";#N/A,#N/A,FALSE,"Monthly CAIDI";#N/A,#N/A,FALSE,"Yearly CAIDI";#N/A,#N/A,FALSE,"Monthly SAIDI";#N/A,#N/A,FALSE,"Yearly SAIDI";#N/A,#N/A,FALSE,"Monthly MAIFI";#N/A,#N/A,FALSE,"Yearly MAIFI";#N/A,#N/A,FALSE,"Monthly Cust &gt;=4 Int"}</definedName>
    <definedName name="Balance_Sheet">#REF!</definedName>
    <definedName name="Base">#REF!</definedName>
    <definedName name="BASE_MESSAGE">#REF!</definedName>
    <definedName name="BASE_SENS_FACT">#REF!</definedName>
    <definedName name="Baseline">#REF!</definedName>
    <definedName name="beny" hidden="1">{#N/A,#N/A,FALSE,"Monthly SAIFI";#N/A,#N/A,FALSE,"Yearly SAIFI";#N/A,#N/A,FALSE,"Monthly CAIDI";#N/A,#N/A,FALSE,"Yearly CAIDI";#N/A,#N/A,FALSE,"Monthly SAIDI";#N/A,#N/A,FALSE,"Yearly SAIDI";#N/A,#N/A,FALSE,"Monthly MAIFI";#N/A,#N/A,FALSE,"Yearly MAIFI";#N/A,#N/A,FALSE,"Monthly Cust &gt;=4 Int"}</definedName>
    <definedName name="BGS_Auction_Cost">#REF!</definedName>
    <definedName name="BGS_Forecast">#REF!</definedName>
    <definedName name="BGS_Rate">#REF!</definedName>
    <definedName name="BILLED_KWHs">#REF!</definedName>
    <definedName name="BILLED_KWHsNEW">#REF!</definedName>
    <definedName name="Brett0416">#REF!</definedName>
    <definedName name="Brett042">#REF!</definedName>
    <definedName name="brett0421">#REF!</definedName>
    <definedName name="Brett0423">#REF!</definedName>
    <definedName name="Brett0602">#REF!</definedName>
    <definedName name="Brett404">#REF!</definedName>
    <definedName name="Brett407">#REF!</definedName>
    <definedName name="Brett409">#REF!</definedName>
    <definedName name="Brett411">#REF!</definedName>
    <definedName name="Brett419">#REF!</definedName>
    <definedName name="bvvlhlkhjl">#REF!</definedName>
    <definedName name="C_">#REF!</definedName>
    <definedName name="CalculationComEd">#REF!</definedName>
    <definedName name="CalculationsC3">#REF!</definedName>
    <definedName name="CalculationsC4">#REF!</definedName>
    <definedName name="CalculationsC5">#REF!</definedName>
    <definedName name="CalculationsP3">#REF!</definedName>
    <definedName name="CalculationsP4">#REF!</definedName>
    <definedName name="CalculationsP5">#REF!</definedName>
    <definedName name="CalculationsP6">#REF!</definedName>
    <definedName name="Capital">#REF!</definedName>
    <definedName name="cbcvbcv" hidden="1">{#N/A,#N/A,FALSE,"Monthly SAIFI";#N/A,#N/A,FALSE,"Yearly SAIFI";#N/A,#N/A,FALSE,"Monthly CAIDI";#N/A,#N/A,FALSE,"Yearly CAIDI";#N/A,#N/A,FALSE,"Monthly SAIDI";#N/A,#N/A,FALSE,"Yearly SAIDI";#N/A,#N/A,FALSE,"Monthly MAIFI";#N/A,#N/A,FALSE,"Yearly MAIFI";#N/A,#N/A,FALSE,"Monthly Cust &gt;=4 Int"}</definedName>
    <definedName name="CBT">#REF!</definedName>
    <definedName name="CBWorkbookPriority" hidden="1">-250256570</definedName>
    <definedName name="ccbbcvbc" hidden="1">{#N/A,#N/A,FALSE,"Monthly SAIFI";#N/A,#N/A,FALSE,"Yearly SAIFI";#N/A,#N/A,FALSE,"Monthly CAIDI";#N/A,#N/A,FALSE,"Yearly CAIDI";#N/A,#N/A,FALSE,"Monthly SAIDI";#N/A,#N/A,FALSE,"Yearly SAIDI";#N/A,#N/A,FALSE,"Monthly MAIFI";#N/A,#N/A,FALSE,"Yearly MAIFI";#N/A,#N/A,FALSE,"Monthly Cust &gt;=4 Int"}</definedName>
    <definedName name="CEP">#REF!</definedName>
    <definedName name="CH_COS" localSheetId="0">#REF!</definedName>
    <definedName name="ClaculationC">#REF!</definedName>
    <definedName name="ClaculationP">#REF!</definedName>
    <definedName name="ClaculationsC">#REF!</definedName>
    <definedName name="Class">#REF!</definedName>
    <definedName name="CLDR">#REF!</definedName>
    <definedName name="COMMONWEALTH_EDISON_COMPANY">#REF!</definedName>
    <definedName name="complex">#REF!</definedName>
    <definedName name="CONVERT_IT">#REF!</definedName>
    <definedName name="CONVERT_RTN">#REF!</definedName>
    <definedName name="CUR_SENS_FACT">#REF!</definedName>
    <definedName name="CURRENT_MESSAGE">#REF!</definedName>
    <definedName name="CurrentEndDate">#REF!</definedName>
    <definedName name="Curve_Date">#REF!</definedName>
    <definedName name="d" hidden="1">{#N/A,#N/A,TRUE,"TAXPROV";#N/A,#N/A,TRUE,"FLOWTHRU";#N/A,#N/A,TRUE,"SCHEDULE M'S";#N/A,#N/A,TRUE,"PLANT M'S";#N/A,#N/A,TRUE,"TAXJE"}</definedName>
    <definedName name="dadasdas">#REF!</definedName>
    <definedName name="DASDD" hidden="1">{#N/A,#N/A,FALSE,"Monthly SAIFI";#N/A,#N/A,FALSE,"Yearly SAIFI";#N/A,#N/A,FALSE,"Monthly CAIDI";#N/A,#N/A,FALSE,"Yearly CAIDI";#N/A,#N/A,FALSE,"Monthly SAIDI";#N/A,#N/A,FALSE,"Yearly SAIDI";#N/A,#N/A,FALSE,"Monthly MAIFI";#N/A,#N/A,FALSE,"Yearly MAIFI";#N/A,#N/A,FALSE,"Monthly Cust &gt;=4 Int"}</definedName>
    <definedName name="Data">#REF!</definedName>
    <definedName name="DATA1">#REF!</definedName>
    <definedName name="DATA10">#REF!</definedName>
    <definedName name="DATA11">#REF!</definedName>
    <definedName name="DATA12">#REF!</definedName>
    <definedName name="DATA13">#REF!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base2">#REF!</definedName>
    <definedName name="DATAFEEDER">[0]!DATAFEEDER</definedName>
    <definedName name="DateNumber">#REF!</definedName>
    <definedName name="DateNumberCurrentPrior">#REF!</definedName>
    <definedName name="DateNumberQtrPrior">#REF!</definedName>
    <definedName name="DateNumberYearEndPrior">#REF!</definedName>
    <definedName name="DateText">#REF!</definedName>
    <definedName name="dd" hidden="1">{#N/A,#N/A,FALSE,"Monthly SAIFI";#N/A,#N/A,FALSE,"Yearly SAIFI";#N/A,#N/A,FALSE,"Monthly CAIDI";#N/A,#N/A,FALSE,"Yearly CAIDI";#N/A,#N/A,FALSE,"Monthly SAIDI";#N/A,#N/A,FALSE,"Yearly SAIDI";#N/A,#N/A,FALSE,"Monthly MAIFI";#N/A,#N/A,FALSE,"Yearly MAIFI";#N/A,#N/A,FALSE,"Monthly Cust &gt;=4 Int"}</definedName>
    <definedName name="dddd">#REF!</definedName>
    <definedName name="ddfsaf" hidden="1">{#N/A,#N/A,FALSE,"Monthly SAIFI";#N/A,#N/A,FALSE,"Yearly SAIFI";#N/A,#N/A,FALSE,"Monthly CAIDI";#N/A,#N/A,FALSE,"Yearly CAIDI";#N/A,#N/A,FALSE,"Monthly SAIDI";#N/A,#N/A,FALSE,"Yearly SAIDI";#N/A,#N/A,FALSE,"Monthly MAIFI";#N/A,#N/A,FALSE,"Yearly MAIFI";#N/A,#N/A,FALSE,"Monthly Cust &gt;=4 Int"}</definedName>
    <definedName name="de">#REF!</definedName>
    <definedName name="Dec">#REF!</definedName>
    <definedName name="Decommissioning_Rate">#REF!</definedName>
    <definedName name="decpd">#REF!</definedName>
    <definedName name="DELAWARE">#REF!</definedName>
    <definedName name="deplr">#REF!</definedName>
    <definedName name="deytd">#REF!</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ffgdfgd">#REF!</definedName>
    <definedName name="dfdsfs" hidden="1">{#N/A,#N/A,FALSE,"Monthly SAIFI";#N/A,#N/A,FALSE,"Yearly SAIFI";#N/A,#N/A,FALSE,"Monthly CAIDI";#N/A,#N/A,FALSE,"Yearly CAIDI";#N/A,#N/A,FALSE,"Monthly SAIDI";#N/A,#N/A,FALSE,"Yearly SAIDI";#N/A,#N/A,FALSE,"Monthly MAIFI";#N/A,#N/A,FALSE,"Yearly MAIFI";#N/A,#N/A,FALSE,"Monthly Cust &gt;=4 Int"}</definedName>
    <definedName name="dfgdfgh">#REF!</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fsasdfasfs">#REF!</definedName>
    <definedName name="dfsdfsf">#REF!</definedName>
    <definedName name="dfsfasfasfs">#REF!</definedName>
    <definedName name="Discount10">#REF!</definedName>
    <definedName name="Discount11">#REF!</definedName>
    <definedName name="Discount12">#REF!</definedName>
    <definedName name="Discount13">#REF!</definedName>
    <definedName name="Discount14">#REF!</definedName>
    <definedName name="Discount15">#REF!</definedName>
    <definedName name="Discount2">#REF!</definedName>
    <definedName name="Discount3">#REF!</definedName>
    <definedName name="Discount4">#REF!</definedName>
    <definedName name="Discount5">#REF!</definedName>
    <definedName name="Discount6">#REF!</definedName>
    <definedName name="Discount7">#REF!</definedName>
    <definedName name="Discount8">#REF!</definedName>
    <definedName name="Discount9">#REF!</definedName>
    <definedName name="discrate">#REF!</definedName>
    <definedName name="Distribution_Rate_Adjustment">#REF!</definedName>
    <definedName name="DP1875TB">#REF!</definedName>
    <definedName name="dpl">#REF!</definedName>
    <definedName name="dplcpd">#REF!</definedName>
    <definedName name="dplplr">#REF!</definedName>
    <definedName name="DPLYTD">#REF!</definedName>
    <definedName name="DR">#REF!</definedName>
    <definedName name="dskdlss" hidden="1">{#N/A,#N/A,FALSE,"Monthly SAIFI";#N/A,#N/A,FALSE,"Yearly SAIFI";#N/A,#N/A,FALSE,"Monthly CAIDI";#N/A,#N/A,FALSE,"Yearly CAIDI";#N/A,#N/A,FALSE,"Monthly SAIDI";#N/A,#N/A,FALSE,"Yearly SAIDI";#N/A,#N/A,FALSE,"Monthly MAIFI";#N/A,#N/A,FALSE,"Yearly MAIFI";#N/A,#N/A,FALSE,"Monthly Cust &gt;=4 Int"}</definedName>
    <definedName name="DSM_Rate">#REF!</definedName>
    <definedName name="E">#REF!</definedName>
    <definedName name="eaewq">#REF!</definedName>
    <definedName name="EASTERN">#REF!</definedName>
    <definedName name="edred" hidden="1">{#N/A,#N/A,FALSE,"Monthly SAIFI";#N/A,#N/A,FALSE,"Yearly SAIFI";#N/A,#N/A,FALSE,"Monthly CAIDI";#N/A,#N/A,FALSE,"Yearly CAIDI";#N/A,#N/A,FALSE,"Monthly SAIDI";#N/A,#N/A,FALSE,"Yearly SAIDI";#N/A,#N/A,FALSE,"Monthly MAIFI";#N/A,#N/A,FALSE,"Yearly MAIFI";#N/A,#N/A,FALSE,"Monthly Cust &gt;=4 Int"}</definedName>
    <definedName name="EED">#REF!</definedName>
    <definedName name="ELEC_CUST">#REF!</definedName>
    <definedName name="ELEC_REV">#REF!</definedName>
    <definedName name="ELEC_SALES">#REF!</definedName>
    <definedName name="empid">#REF!</definedName>
    <definedName name="EPG">#REF!</definedName>
    <definedName name="erser">#REF!</definedName>
    <definedName name="EssOptions">"1100000000130100_11-          00"</definedName>
    <definedName name="Estimated_Fair_Value">"fair_value"</definedName>
    <definedName name="EV__LASTREFTIME__" hidden="1">39853.6878472222</definedName>
    <definedName name="EXPENSES">#REF!</definedName>
    <definedName name="f" hidden="1">{#N/A,#N/A,TRUE,"TAXPROV";#N/A,#N/A,TRUE,"FLOWTHRU";#N/A,#N/A,TRUE,"SCHEDULE M'S";#N/A,#N/A,TRUE,"PLANT M'S";#N/A,#N/A,TRUE,"TAXJE"}</definedName>
    <definedName name="fafasfasf">#REF!</definedName>
    <definedName name="fasfsafasf">#REF!</definedName>
    <definedName name="fasfsdf">#REF!</definedName>
    <definedName name="FB_CUSTOMERS">#REF!</definedName>
    <definedName name="FB_LINES">#REF!</definedName>
    <definedName name="FDSDFSF" hidden="1">{#N/A,#N/A,FALSE,"Monthly SAIFI";#N/A,#N/A,FALSE,"Yearly SAIFI";#N/A,#N/A,FALSE,"Monthly CAIDI";#N/A,#N/A,FALSE,"Yearly CAIDI";#N/A,#N/A,FALSE,"Monthly SAIDI";#N/A,#N/A,FALSE,"Yearly SAIDI";#N/A,#N/A,FALSE,"Monthly MAIFI";#N/A,#N/A,FALSE,"Yearly MAIFI";#N/A,#N/A,FALSE,"Monthly Cust &gt;=4 Int"}</definedName>
    <definedName name="fdsfafs">#REF!</definedName>
    <definedName name="Feb">#REF!</definedName>
    <definedName name="FERC.ICC">#REF!</definedName>
    <definedName name="ff"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inal">#REF!</definedName>
    <definedName name="FinDate">#REF!</definedName>
    <definedName name="fjriesmd">#REF!</definedName>
    <definedName name="FORMULA">#REF!+#REF!+#REF!</definedName>
    <definedName name="Fossil_Divest">#REF!</definedName>
    <definedName name="fsafsfsaf">#REF!</definedName>
    <definedName name="fsdafasf" hidden="1">{#N/A,#N/A,FALSE,"Monthly SAIFI";#N/A,#N/A,FALSE,"Yearly SAIFI";#N/A,#N/A,FALSE,"Monthly CAIDI";#N/A,#N/A,FALSE,"Yearly CAIDI";#N/A,#N/A,FALSE,"Monthly SAIDI";#N/A,#N/A,FALSE,"Yearly SAIDI";#N/A,#N/A,FALSE,"Monthly MAIFI";#N/A,#N/A,FALSE,"Yearly MAIFI";#N/A,#N/A,FALSE,"Monthly Cust &gt;=4 Int"}</definedName>
    <definedName name="fsdf">#REF!</definedName>
    <definedName name="fsdfaf">#REF!</definedName>
    <definedName name="fsdfas">#REF!</definedName>
    <definedName name="fsdfsd">#REF!</definedName>
    <definedName name="fsdfsdfas">#REF!</definedName>
    <definedName name="fsdfsdfsfs">#REF!</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dfsfsf">#REF!</definedName>
    <definedName name="fsdfwer">#REF!</definedName>
    <definedName name="fsfsafkskfsf">#REF!</definedName>
    <definedName name="fsfsafs">#REF!</definedName>
    <definedName name="fsfsfsafasf"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FY4D">#REF!</definedName>
    <definedName name="g" hidden="1">{#N/A,#N/A,FALSE,"O&amp;M by processes";#N/A,#N/A,FALSE,"Elec Act vs Bud";#N/A,#N/A,FALSE,"G&amp;A";#N/A,#N/A,FALSE,"BGS";#N/A,#N/A,FALSE,"Res Cost"}</definedName>
    <definedName name="GAM83M">#REF!</definedName>
    <definedName name="gas">#REF!</definedName>
    <definedName name="gasytd">#REF!</definedName>
    <definedName name="gdfgdgdg">#REF!</definedName>
    <definedName name="GENERAL_HELP">#REF!</definedName>
    <definedName name="gfhfhfdhg">#REF!</definedName>
    <definedName name="gg" hidden="1">{#N/A,#N/A,FALSE,"O&amp;M by processes";#N/A,#N/A,FALSE,"Elec Act vs Bud";#N/A,#N/A,FALSE,"G&amp;A";#N/A,#N/A,FALSE,"BGS";#N/A,#N/A,FALSE,"Res Cost"}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oaway" hidden="1">{#N/A,#N/A,TRUE,"TAXPROV";#N/A,#N/A,TRUE,"FLOWTHRU";#N/A,#N/A,TRUE,"SCHEDULE M'S";#N/A,#N/A,TRUE,"PLANT M'S";#N/A,#N/A,TRUE,"TAXJE"}</definedName>
    <definedName name="GPURS">#REF!</definedName>
    <definedName name="GRAPH_SELECT">#REF!</definedName>
    <definedName name="GRAPH_TABLE">#REF!</definedName>
    <definedName name="GVKey">""</definedName>
    <definedName name="h" hidden="1">{#N/A,#N/A,FALSE,"Monthly SAIFI";#N/A,#N/A,FALSE,"Yearly SAIFI";#N/A,#N/A,FALSE,"Monthly CAIDI";#N/A,#N/A,FALSE,"Yearly CAIDI";#N/A,#N/A,FALSE,"Monthly SAIDI";#N/A,#N/A,FALSE,"Yearly SAIDI";#N/A,#N/A,FALSE,"Monthly MAIFI";#N/A,#N/A,FALSE,"Yearly MAIFI";#N/A,#N/A,FALSE,"Monthly Cust &gt;=4 Int"}</definedName>
    <definedName name="HELP_LOCATOR">#REF!</definedName>
    <definedName name="hh" hidden="1">{#N/A,#N/A,FALSE,"Monthly SAIFI";#N/A,#N/A,FALSE,"Yearly SAIFI";#N/A,#N/A,FALSE,"Monthly CAIDI";#N/A,#N/A,FALSE,"Yearly CAIDI";#N/A,#N/A,FALSE,"Monthly SAIDI";#N/A,#N/A,FALSE,"Yearly SAIDI";#N/A,#N/A,FALSE,"Monthly MAIFI";#N/A,#N/A,FALSE,"Yearly MAIFI";#N/A,#N/A,FALSE,"Monthly Cust &gt;=4 Int"}</definedName>
    <definedName name="hhifgfcgfcg">#REF!</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IDN">#REF!</definedName>
    <definedName name="ImplementDate">#REF!</definedName>
    <definedName name="Include_OTRA_Kwhrs">#REF!</definedName>
    <definedName name="INCOME">#REF!</definedName>
    <definedName name="INSERTRANGE">#REF!</definedName>
    <definedName name="int.rate">#REF!</definedName>
    <definedName name="interest">#REF!</definedName>
    <definedName name="interestrate">#REF!</definedName>
    <definedName name="INTSALE">#REF!</definedName>
    <definedName name="InvStratif">#REF!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"XLL"</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39420.5644328704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SCM">#REF!</definedName>
    <definedName name="ISTITLE">#REF!</definedName>
    <definedName name="ISYTD">#REF!</definedName>
    <definedName name="IT">#REF!</definedName>
    <definedName name="IT_VP_name">#REF!</definedName>
    <definedName name="ITBU">#REF!</definedName>
    <definedName name="Jan_03">#REF!</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ohn" hidden="1">{#N/A,#N/A,FALSE,"Monthly SAIFI";#N/A,#N/A,FALSE,"Yearly SAIFI";#N/A,#N/A,FALSE,"Monthly CAIDI";#N/A,#N/A,FALSE,"Yearly CAIDI";#N/A,#N/A,FALSE,"Monthly SAIDI";#N/A,#N/A,FALSE,"Yearly SAIDI";#N/A,#N/A,FALSE,"Monthly MAIFI";#N/A,#N/A,FALSE,"Yearly MAIFI";#N/A,#N/A,FALSE,"Monthly Cust &gt;=4 Int"}</definedName>
    <definedName name="Jul">#REF!</definedName>
    <definedName name="Jun">#REF!</definedName>
    <definedName name="k" hidden="1">{#N/A,#N/A,FALSE,"Monthly SAIFI";#N/A,#N/A,FALSE,"Yearly SAIFI";#N/A,#N/A,FALSE,"Monthly CAIDI";#N/A,#N/A,FALSE,"Yearly CAIDI";#N/A,#N/A,FALSE,"Monthly SAIDI";#N/A,#N/A,FALSE,"Yearly SAIDI";#N/A,#N/A,FALSE,"Monthly MAIFI";#N/A,#N/A,FALSE,"Yearly MAIFI";#N/A,#N/A,FALSE,"Monthly Cust &gt;=4 Int"}</definedName>
    <definedName name="K_kWh">#REF!</definedName>
    <definedName name="K1_AdminCredit_1of3">#REF!</definedName>
    <definedName name="K10_TransmissionCalculated">#REF!</definedName>
    <definedName name="K2_AdminCredit_2of3">#REF!</definedName>
    <definedName name="K3_AdminCredit_3of3">#REF!</definedName>
    <definedName name="K4_AdminCreditCalculated">#REF!</definedName>
    <definedName name="K5_Return">#REF!</definedName>
    <definedName name="K6_ProcurementCost_Suppliers">#REF!</definedName>
    <definedName name="K7_IncProcurementCost_Supplier">#REF!</definedName>
    <definedName name="K8_IncGenerationRevenue">#REF!</definedName>
    <definedName name="K9_Transmission">#REF!</definedName>
    <definedName name="Key_Stakeholder_Interface">#REF!</definedName>
    <definedName name="KeyE1" hidden="1">#REF!</definedName>
    <definedName name="kk"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limcount" hidden="1">1</definedName>
    <definedName name="Line_No.">#REF!</definedName>
    <definedName name="loilpuioopy" hidden="1">{#N/A,#N/A,FALSE,"Monthly SAIFI";#N/A,#N/A,FALSE,"Yearly SAIFI";#N/A,#N/A,FALSE,"Monthly CAIDI";#N/A,#N/A,FALSE,"Yearly CAIDI";#N/A,#N/A,FALSE,"Monthly SAIDI";#N/A,#N/A,FALSE,"Yearly SAIDI";#N/A,#N/A,FALSE,"Monthly MAIFI";#N/A,#N/A,FALSE,"Yearly MAIFI";#N/A,#N/A,FALSE,"Monthly Cust &gt;=4 Int"}</definedName>
    <definedName name="LONGBUDESCR">#REF!</definedName>
    <definedName name="LOOP_1">#REF!</definedName>
    <definedName name="LOOP_2">#REF!</definedName>
    <definedName name="LOOP_3">#REF!</definedName>
    <definedName name="LRP_Data">#REF!</definedName>
    <definedName name="lsdfj"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Macro3">#REF!</definedName>
    <definedName name="Macro4">#REF!</definedName>
    <definedName name="Macro5">#REF!</definedName>
    <definedName name="MACROS">#REF!</definedName>
    <definedName name="Mar">#REF!</definedName>
    <definedName name="March_02">#REF!</definedName>
    <definedName name="May">#REF!</definedName>
    <definedName name="md">#REF!</definedName>
    <definedName name="mdcpd">#REF!</definedName>
    <definedName name="mdplr">#REF!</definedName>
    <definedName name="mdytd">#REF!</definedName>
    <definedName name="Meet_Cost_Commitments">#REF!</definedName>
    <definedName name="Meet_Production_Commitments">#REF!</definedName>
    <definedName name="MILESTONES_1">#REF!</definedName>
    <definedName name="MILESTONES_2">#REF!</definedName>
    <definedName name="MNTH_ENERGY" localSheetId="0">#REF!</definedName>
    <definedName name="MONTH">#REF!</definedName>
    <definedName name="MonthlyCFBUD">#REF!</definedName>
    <definedName name="MonthlyCFLE">#REF!</definedName>
    <definedName name="MTC_Type">#REF!</definedName>
    <definedName name="NDCA">#REF!</definedName>
    <definedName name="New">#REF!</definedName>
    <definedName name="new_98_IS">#REF!,#REF!,#REF!</definedName>
    <definedName name="New_BS">#REF!,#REF!,#REF!</definedName>
    <definedName name="nono" hidden="1">{#N/A,#N/A,FALSE,"O&amp;M by processes";#N/A,#N/A,FALSE,"Elec Act vs Bud";#N/A,#N/A,FALSE,"G&amp;A";#N/A,#N/A,FALSE,"BGS";#N/A,#N/A,FALSE,"Res Cost"}</definedName>
    <definedName name="NORTHEAST">#REF!</definedName>
    <definedName name="NORTHWEST">#REF!</definedName>
    <definedName name="Nov">#REF!</definedName>
    <definedName name="NSP_COS" localSheetId="0">#REF!</definedName>
    <definedName name="Nuclear">#REF!</definedName>
    <definedName name="NvsASD">"V2001-08-31"</definedName>
    <definedName name="NvsAutoDrillOk">"VN"</definedName>
    <definedName name="NvsElapsedTime">0.0000724537021596916</definedName>
    <definedName name="NvsEndTime">36817.4223792824</definedName>
    <definedName name="NvsInstSpec">"%,LACTUALS,SBAL,R,FACCOUNT,V275900,FBUSINESS_UNIT,V10200"</definedName>
    <definedName name="NvsLayoutType">"M3"</definedName>
    <definedName name="NvsNplSpec">"%,XZF.ACCOUNT.PSDetail"</definedName>
    <definedName name="NvsPanelEffdt">"V1995-01-01"</definedName>
    <definedName name="NvsPanelSetid">"VMFG"</definedName>
    <definedName name="NvsReqBU">"V10200"</definedName>
    <definedName name="NvsReqBUOnly">"VN"</definedName>
    <definedName name="NvsTransLed">"VN"</definedName>
    <definedName name="NvsTreeASD">"V2001-08-31"</definedName>
    <definedName name="NvsValTbl.ACCOUNT">"GL_ACCOUNT_TBL"</definedName>
    <definedName name="NvsValTbl.BUSINESS_UNIT">"BUS_UNIT_TBL_GL"</definedName>
    <definedName name="NvsValTbl.CURRENCY_CD">"CURRENCY_CD_TBL"</definedName>
    <definedName name="OBRADR">#REF!</definedName>
    <definedName name="Oct">#REF!</definedName>
    <definedName name="one">#REF!,#REF!,#REF!</definedName>
    <definedName name="ONM">#REF!</definedName>
    <definedName name="Operational_Excellence_">#REF!</definedName>
    <definedName name="Operational_Execution_And_Safety">#REF!</definedName>
    <definedName name="OPR">#REF!</definedName>
    <definedName name="PAGE1">#REF!</definedName>
    <definedName name="PAGE2">#REF!</definedName>
    <definedName name="PAGE3">#REF!</definedName>
    <definedName name="PAGE4">#REF!</definedName>
    <definedName name="PAGE5">#REF!</definedName>
    <definedName name="PAGE6">#REF!</definedName>
    <definedName name="PAGE7">#REF!</definedName>
    <definedName name="PAGE8">#REF!</definedName>
    <definedName name="PAGEA">#REF!</definedName>
    <definedName name="PAGEC">#REF!</definedName>
    <definedName name="PAGEE">#REF!</definedName>
    <definedName name="PECO_LABS_FUELS_ALL">#REF!</definedName>
    <definedName name="pension">#REF!</definedName>
    <definedName name="PER">#REF!</definedName>
    <definedName name="PGCOUNT">#REF!</definedName>
    <definedName name="PHASE_HELP">#REF!</definedName>
    <definedName name="PLACE_HOLD">#REF!</definedName>
    <definedName name="POTOMAC_ELECTRIC_POWER_COMPANY">#REF!</definedName>
    <definedName name="PowerTeam">#REF!</definedName>
    <definedName name="PPACOST">#REF!</definedName>
    <definedName name="Pri">#REF!</definedName>
    <definedName name="Print_98_IS">#REF!,#REF!,#REF!</definedName>
    <definedName name="_xlnm.Print_Area" localSheetId="5">'Qtr Electric Business Class'!$A$1:$I$21</definedName>
    <definedName name="_xlnm.Print_Area" localSheetId="4">'Qtr Electric LMI'!$A$1:$I$25</definedName>
    <definedName name="_xlnm.Print_Area" localSheetId="1">'Qtr Electric Master'!$A$1:$R$44</definedName>
    <definedName name="Print_Area_MI">#REF!</definedName>
    <definedName name="print_area03">#REF!</definedName>
    <definedName name="Print_Area1">#REF!</definedName>
    <definedName name="Print_BS">#REF!,#REF!,#REF!</definedName>
    <definedName name="PRINT_SET_UP">#REF!</definedName>
    <definedName name="_xlnm.Print_Titles">#N/A</definedName>
    <definedName name="Print1" localSheetId="0">#REF!</definedName>
    <definedName name="Print3" localSheetId="0">#REF!</definedName>
    <definedName name="Print4" localSheetId="0">#REF!</definedName>
    <definedName name="Print5" localSheetId="0">#REF!</definedName>
    <definedName name="Prior">#REF!</definedName>
    <definedName name="PriorQTREnd">#REF!</definedName>
    <definedName name="Profitability_">#REF!</definedName>
    <definedName name="PRT_COMPARE">#REF!</definedName>
    <definedName name="PRT_GR">#REF!</definedName>
    <definedName name="PRT_GRAPH_RTN">#REF!</definedName>
    <definedName name="PRT_GRAPHS">#REF!</definedName>
    <definedName name="PRT_GRAPHS?">#REF!</definedName>
    <definedName name="PRT_GRPH_1">#REF!</definedName>
    <definedName name="PRT_GRPH_10">#REF!</definedName>
    <definedName name="PRT_GRPH_11">#REF!</definedName>
    <definedName name="PRT_GRPH_12">#REF!</definedName>
    <definedName name="PRT_GRPH_2">#REF!</definedName>
    <definedName name="PRT_GRPH_3">#REF!</definedName>
    <definedName name="PRT_GRPH_4">#REF!</definedName>
    <definedName name="PRT_GRPH_5">#REF!</definedName>
    <definedName name="PRT_GRPH_6">#REF!</definedName>
    <definedName name="PRT_GRPH_7">#REF!</definedName>
    <definedName name="PRT_GRPH_8">#REF!</definedName>
    <definedName name="PRT_GRPH_9">#REF!</definedName>
    <definedName name="PRT_MODEL">#REF!</definedName>
    <definedName name="PRT_QRES">#REF!</definedName>
    <definedName name="PRT_REPORT_RTN">#REF!</definedName>
    <definedName name="PRT_REPORTS">#REF!</definedName>
    <definedName name="PRT_REPORTS?">#REF!</definedName>
    <definedName name="PRT_RESET">#REF!</definedName>
    <definedName name="PSCo_COS" localSheetId="0">#REF!</definedName>
    <definedName name="q">#REF!</definedName>
    <definedName name="QRE_HELP">#REF!</definedName>
    <definedName name="QRE_MARGINS">#REF!</definedName>
    <definedName name="qsqe">#REF!</definedName>
    <definedName name="QuarterEndDate">#REF!</definedName>
    <definedName name="Range10">#REF!</definedName>
    <definedName name="Range11">#REF!</definedName>
    <definedName name="Range12">#REF!</definedName>
    <definedName name="Range13">#REF!</definedName>
    <definedName name="Range14">#REF!</definedName>
    <definedName name="Range15">#REF!</definedName>
    <definedName name="Range16">#REF!</definedName>
    <definedName name="Range17">#REF!</definedName>
    <definedName name="Range18">#REF!</definedName>
    <definedName name="Range19">#REF!</definedName>
    <definedName name="Range2">#REF!</definedName>
    <definedName name="Range20">#REF!</definedName>
    <definedName name="Range21">#REF!</definedName>
    <definedName name="Range22">#REF!</definedName>
    <definedName name="Range23">#REF!</definedName>
    <definedName name="Range24">#REF!</definedName>
    <definedName name="Range25">#REF!</definedName>
    <definedName name="Range26">#REF!</definedName>
    <definedName name="Range27">#REF!</definedName>
    <definedName name="Range28">#REF!</definedName>
    <definedName name="Range29">#REF!</definedName>
    <definedName name="Range30">#REF!</definedName>
    <definedName name="Range31">#REF!</definedName>
    <definedName name="Range32">#REF!</definedName>
    <definedName name="Range33">#REF!</definedName>
    <definedName name="Range34">#REF!</definedName>
    <definedName name="Range35">#REF!</definedName>
    <definedName name="Range36">#REF!</definedName>
    <definedName name="Range37">#REF!</definedName>
    <definedName name="Range38">#REF!</definedName>
    <definedName name="Range39">#REF!</definedName>
    <definedName name="Range4">#REF!</definedName>
    <definedName name="Range40">#REF!</definedName>
    <definedName name="Range41">#REF!</definedName>
    <definedName name="Range5">#REF!</definedName>
    <definedName name="Range6">#REF!</definedName>
    <definedName name="Range7">#REF!</definedName>
    <definedName name="Range8">#REF!</definedName>
    <definedName name="Range9">#REF!</definedName>
    <definedName name="Rate_Reduction_Factor">#REF!</definedName>
    <definedName name="RBU">#REF!</definedName>
    <definedName name="reawreqw" hidden="1">{#N/A,#N/A,FALSE,"Monthly SAIFI";#N/A,#N/A,FALSE,"Yearly SAIFI";#N/A,#N/A,FALSE,"Monthly CAIDI";#N/A,#N/A,FALSE,"Yearly CAIDI";#N/A,#N/A,FALSE,"Monthly SAIDI";#N/A,#N/A,FALSE,"Yearly SAIDI";#N/A,#N/A,FALSE,"Monthly MAIFI";#N/A,#N/A,FALSE,"Yearly MAIFI";#N/A,#N/A,FALSE,"Monthly Cust &gt;=4 Int"}</definedName>
    <definedName name="REPORT_SELECT">#REF!</definedName>
    <definedName name="REPORT_TABLE">#REF!</definedName>
    <definedName name="RESALE_CUSTOMERS">#REF!</definedName>
    <definedName name="RESALE_LINES">#REF!</definedName>
    <definedName name="RESET_SENS_FACT">#REF!</definedName>
    <definedName name="RETURN">#REF!</definedName>
    <definedName name="revreq" localSheetId="0">#REF!</definedName>
    <definedName name="RID">#REF!</definedName>
    <definedName name="ROA">#REF!</definedName>
    <definedName name="rwrw">#REF!</definedName>
    <definedName name="Safety_Workforce_Eff_">#REF!</definedName>
    <definedName name="safsafs">#REF!</definedName>
    <definedName name="safsfsad">#REF!</definedName>
    <definedName name="sangh">#REF!</definedName>
    <definedName name="sanghvi215">#REF!</definedName>
    <definedName name="sanghvi232">#REF!</definedName>
    <definedName name="sanghvi2323">#REF!</definedName>
    <definedName name="SAPBEXhrIndnt" hidden="1">"Wide"</definedName>
    <definedName name="SAPBEXrevision" hidden="1">18</definedName>
    <definedName name="SAPBEXsysID" hidden="1">"BWP"</definedName>
    <definedName name="SAPBEXwbID" hidden="1">"3PHPFV8FO7PRQRDHFGKHVVOKV"</definedName>
    <definedName name="SAPsysID" hidden="1">"708C5W7SBKP804JT78WJ0JNKI"</definedName>
    <definedName name="SAPwbID" hidden="1">"ARS"</definedName>
    <definedName name="saSAsa" hidden="1">{#N/A,#N/A,FALSE,"Monthly SAIFI";#N/A,#N/A,FALSE,"Yearly SAIFI";#N/A,#N/A,FALSE,"Monthly CAIDI";#N/A,#N/A,FALSE,"Yearly CAIDI";#N/A,#N/A,FALSE,"Monthly SAIDI";#N/A,#N/A,FALSE,"Yearly SAIDI";#N/A,#N/A,FALSE,"Monthly MAIFI";#N/A,#N/A,FALSE,"Yearly MAIFI";#N/A,#N/A,FALSE,"Monthly Cust &gt;=4 Int"}</definedName>
    <definedName name="sasg">#REF!</definedName>
    <definedName name="SBU_SHEET_HELP">#REF!</definedName>
    <definedName name="sch.A">#REF!</definedName>
    <definedName name="sch.b._FERC_ICC">#REF!</definedName>
    <definedName name="SCHUYLKILL">#REF!</definedName>
    <definedName name="sdasda">#REF!</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fsd">#REF!</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asfasfasfsdf">#REF!</definedName>
    <definedName name="sdfasfsf">#REF!</definedName>
    <definedName name="sdfdfsf">#REF!</definedName>
    <definedName name="sdfds" hidden="1">{#N/A,#N/A,FALSE,"Monthly SAIFI";#N/A,#N/A,FALSE,"Yearly SAIFI";#N/A,#N/A,FALSE,"Monthly CAIDI";#N/A,#N/A,FALSE,"Yearly CAIDI";#N/A,#N/A,FALSE,"Monthly SAIDI";#N/A,#N/A,FALSE,"Yearly SAIDI";#N/A,#N/A,FALSE,"Monthly MAIFI";#N/A,#N/A,FALSE,"Yearly MAIFI";#N/A,#N/A,FALSE,"Monthly Cust &gt;=4 Int"}</definedName>
    <definedName name="sdffsfaf">#REF!</definedName>
    <definedName name="sdfsadfsf">#REF!</definedName>
    <definedName name="sdfsdfdfdf">#REF!</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#REF!</definedName>
    <definedName name="sdfsdfsdasdfsd">#REF!</definedName>
    <definedName name="sdfsdfsdfsdfsdf">#REF!</definedName>
    <definedName name="sdfsdfsfsa" hidden="1">{#N/A,#N/A,FALSE,"Monthly SAIFI";#N/A,#N/A,FALSE,"Yearly SAIFI";#N/A,#N/A,FALSE,"Monthly CAIDI";#N/A,#N/A,FALSE,"Yearly CAIDI";#N/A,#N/A,FALSE,"Monthly SAIDI";#N/A,#N/A,FALSE,"Yearly SAIDI";#N/A,#N/A,FALSE,"Monthly MAIFI";#N/A,#N/A,FALSE,"Yearly MAIFI";#N/A,#N/A,FALSE,"Monthly Cust &gt;=4 Int"}</definedName>
    <definedName name="sdfsf">#REF!</definedName>
    <definedName name="sdgf" hidden="1">#REF!</definedName>
    <definedName name="sdsdsa">#REF!</definedName>
    <definedName name="SENS_DATA_RTN">#REF!</definedName>
    <definedName name="SENS_MESSAGE">#REF!</definedName>
    <definedName name="Sep">#REF!</definedName>
    <definedName name="SepNEW">#REF!</definedName>
    <definedName name="Sept">#REF!</definedName>
    <definedName name="SERP">#REF!</definedName>
    <definedName name="sf">#REF!</definedName>
    <definedName name="SFDD">#REF!</definedName>
    <definedName name="sffsfa" hidden="1">{#N/A,#N/A,FALSE,"Monthly SAIFI";#N/A,#N/A,FALSE,"Yearly SAIFI";#N/A,#N/A,FALSE,"Monthly CAIDI";#N/A,#N/A,FALSE,"Yearly CAIDI";#N/A,#N/A,FALSE,"Monthly SAIDI";#N/A,#N/A,FALSE,"Yearly SAIDI";#N/A,#N/A,FALSE,"Monthly MAIFI";#N/A,#N/A,FALSE,"Yearly MAIFI";#N/A,#N/A,FALSE,"Monthly Cust &gt;=4 Int"}</definedName>
    <definedName name="sfsd">#REF!</definedName>
    <definedName name="sfsdfasf">#REF!</definedName>
    <definedName name="sfsdfsafsf">#REF!</definedName>
    <definedName name="sfsdfsdf">#REF!</definedName>
    <definedName name="sfsdfsfsfsd">#REF!</definedName>
    <definedName name="SFSFD" hidden="1">{#N/A,#N/A,FALSE,"Monthly SAIFI";#N/A,#N/A,FALSE,"Yearly SAIFI";#N/A,#N/A,FALSE,"Monthly CAIDI";#N/A,#N/A,FALSE,"Yearly CAIDI";#N/A,#N/A,FALSE,"Monthly SAIDI";#N/A,#N/A,FALSE,"Yearly SAIDI";#N/A,#N/A,FALSE,"Monthly MAIFI";#N/A,#N/A,FALSE,"Yearly MAIFI";#N/A,#N/A,FALSE,"Monthly Cust &gt;=4 Int"}</definedName>
    <definedName name="sfsfsf">#REF!</definedName>
    <definedName name="sfsssr">#REF!</definedName>
    <definedName name="SFVD">#REF!</definedName>
    <definedName name="sgggggkjjkkj">#REF!</definedName>
    <definedName name="Sheet1" hidden="1">{#N/A,#N/A,FALSE,"Monthly SAIFI";#N/A,#N/A,FALSE,"Yearly SAIFI";#N/A,#N/A,FALSE,"Monthly CAIDI";#N/A,#N/A,FALSE,"Yearly CAIDI";#N/A,#N/A,FALSE,"Monthly SAIDI";#N/A,#N/A,FALSE,"Yearly SAIDI";#N/A,#N/A,FALSE,"Monthly MAIFI";#N/A,#N/A,FALSE,"Yearly MAIFI";#N/A,#N/A,FALSE,"Monthly Cust &gt;=4 Int"}</definedName>
    <definedName name="SLA_Unit_Cost">#REF!</definedName>
    <definedName name="slldk" hidden="1">{#N/A,#N/A,FALSE,"Monthly SAIFI";#N/A,#N/A,FALSE,"Yearly SAIFI";#N/A,#N/A,FALSE,"Monthly CAIDI";#N/A,#N/A,FALSE,"Yearly CAIDI";#N/A,#N/A,FALSE,"Monthly SAIDI";#N/A,#N/A,FALSE,"Yearly SAIDI";#N/A,#N/A,FALSE,"Monthly MAIFI";#N/A,#N/A,FALSE,"Yearly MAIFI";#N/A,#N/A,FALSE,"Monthly Cust &gt;=4 Int"}</definedName>
    <definedName name="solver_adj" hidden="1">#REF!,#REF!,#REF!,#REF!,#REF!,#REF!,#REF!</definedName>
    <definedName name="solver_lin" hidden="1">0</definedName>
    <definedName name="solver_num" hidden="1">0</definedName>
    <definedName name="solver_tmp" hidden="1">#REF!,#REF!,#REF!,#REF!,#REF!,#REF!,#REF!</definedName>
    <definedName name="solver_typ" hidden="1">1</definedName>
    <definedName name="solver_val" hidden="1">0</definedName>
    <definedName name="SortE" hidden="1">#REF!</definedName>
    <definedName name="SOUTH">#REF!</definedName>
    <definedName name="SPSet">"current"</definedName>
    <definedName name="SPWS_WBID">"5212E8AE-A962-4131-8FBC-A40040E9ED32"</definedName>
    <definedName name="SSA">#REF!</definedName>
    <definedName name="StartDate">#REF!</definedName>
    <definedName name="SUT">#REF!</definedName>
    <definedName name="Sx">#REF!</definedName>
    <definedName name="T">#REF!</definedName>
    <definedName name="TABLE">#REF!</definedName>
    <definedName name="TEFA">#REF!</definedName>
    <definedName name="TEST">#REF!</definedName>
    <definedName name="TEST0">#REF!</definedName>
    <definedName name="test1">#REF!</definedName>
    <definedName name="TESTHKEY">#REF!</definedName>
    <definedName name="TESTKEYS">#REF!</definedName>
    <definedName name="TESTVKEY">#REF!</definedName>
    <definedName name="three">#REF!,#REF!,#REF!</definedName>
    <definedName name="TOTAL">#REF!</definedName>
    <definedName name="TOTAL_CUSTOMERS">#REF!</definedName>
    <definedName name="TOTAL_LINES">#REF!</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ransco">#REF!</definedName>
    <definedName name="Tree">#REF!</definedName>
    <definedName name="TWELVE">#REF!</definedName>
    <definedName name="two">#REF!,#REF!,#REF!</definedName>
    <definedName name="tyty" hidden="1">{#N/A,#N/A,FALSE,"Monthly SAIFI";#N/A,#N/A,FALSE,"Yearly SAIFI";#N/A,#N/A,FALSE,"Monthly CAIDI";#N/A,#N/A,FALSE,"Yearly CAIDI";#N/A,#N/A,FALSE,"Monthly SAIDI";#N/A,#N/A,FALSE,"Yearly SAIDI";#N/A,#N/A,FALSE,"Monthly MAIFI";#N/A,#N/A,FALSE,"Yearly MAIFI";#N/A,#N/A,FALSE,"Monthly Cust &gt;=4 Int"}</definedName>
    <definedName name="under" hidden="1">{#N/A,#N/A,TRUE,"TAXPROV";#N/A,#N/A,TRUE,"FLOWTHRU";#N/A,#N/A,TRUE,"SCHEDULE M'S";#N/A,#N/A,TRUE,"PLANT M'S";#N/A,#N/A,TRUE,"TAXJE"}</definedName>
    <definedName name="UTILRANGE">#REF!</definedName>
    <definedName name="va">#REF!</definedName>
    <definedName name="vacpd">#REF!</definedName>
    <definedName name="ValidData">#REF!</definedName>
    <definedName name="vaplr">#REF!</definedName>
    <definedName name="vaytd">#REF!</definedName>
    <definedName name="vcbcvbcv" hidden="1">{#N/A,#N/A,FALSE,"Monthly SAIFI";#N/A,#N/A,FALSE,"Yearly SAIFI";#N/A,#N/A,FALSE,"Monthly CAIDI";#N/A,#N/A,FALSE,"Yearly CAIDI";#N/A,#N/A,FALSE,"Monthly SAIDI";#N/A,#N/A,FALSE,"Yearly SAIDI";#N/A,#N/A,FALSE,"Monthly MAIFI";#N/A,#N/A,FALSE,"Yearly MAIFI";#N/A,#N/A,FALSE,"Monthly Cust &gt;=4 Int"}</definedName>
    <definedName name="wearwerawer">#REF!</definedName>
    <definedName name="wer" hidden="1">{#N/A,#N/A,FALSE,"Monthly SAIFI";#N/A,#N/A,FALSE,"Yearly SAIFI";#N/A,#N/A,FALSE,"Monthly CAIDI";#N/A,#N/A,FALSE,"Yearly CAIDI";#N/A,#N/A,FALSE,"Monthly SAIDI";#N/A,#N/A,FALSE,"Yearly SAIDI";#N/A,#N/A,FALSE,"Monthly MAIFI";#N/A,#N/A,FALSE,"Yearly MAIFI";#N/A,#N/A,FALSE,"Monthly Cust &gt;=4 Int"}</definedName>
    <definedName name="werw3">#REF!</definedName>
    <definedName name="werwerwe">#REF!</definedName>
    <definedName name="WESTERN">#REF!</definedName>
    <definedName name="what" hidden="1">{#N/A,#N/A,FALSE,"O&amp;M by processes";#N/A,#N/A,FALSE,"Elec Act vs Bud";#N/A,#N/A,FALSE,"G&amp;A";#N/A,#N/A,FALSE,"BGS";#N/A,#N/A,FALSE,"Res Cost"}</definedName>
    <definedName name="what09" hidden="1">{#N/A,#N/A,FALSE,"O&amp;M by processes";#N/A,#N/A,FALSE,"Elec Act vs Bud";#N/A,#N/A,FALSE,"G&amp;A";#N/A,#N/A,FALSE,"BGS";#N/A,#N/A,FALSE,"Res Cost"}</definedName>
    <definedName name="Whatwhat" hidden="1">{#N/A,#N/A,FALSE,"O&amp;M by processes";#N/A,#N/A,FALSE,"Elec Act vs Bud";#N/A,#N/A,FALSE,"G&amp;A";#N/A,#N/A,FALSE,"BGS";#N/A,#N/A,FALSE,"Res Cost"}</definedName>
    <definedName name="Whatwhat09" hidden="1">{#N/A,#N/A,FALSE,"O&amp;M by processes";#N/A,#N/A,FALSE,"Elec Act vs Bud";#N/A,#N/A,FALSE,"G&amp;A";#N/A,#N/A,FALSE,"BGS";#N/A,#N/A,FALSE,"Res Cost"}</definedName>
    <definedName name="whatwhat2009" hidden="1">{#N/A,#N/A,FALSE,"O&amp;M by processes";#N/A,#N/A,FALSE,"Elec Act vs Bud";#N/A,#N/A,FALSE,"G&amp;A";#N/A,#N/A,FALSE,"BGS";#N/A,#N/A,FALSE,"Res Cost"}</definedName>
    <definedName name="Workforce">#REF!</definedName>
    <definedName name="wrn.Aging._.and._.Trend._.Analysis." hidden="1">{#N/A,#N/A,FALSE,"Aging Summary";#N/A,#N/A,FALSE,"Ratio Analysis";#N/A,#N/A,FALSE,"Test 120 Day Accts";#N/A,#N/A,FALSE,"Tickmarks"}</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Filing." hidden="1">{"2002 Scedule A Revenue Proof",#N/A,FALSE,"Schedule A";"2002 Rate Detail",#N/A,FALSE,"Schedule B";"2002 Light Rates Page 1",#N/A,FALSE,"Schedule B";"2002 Light Rates Page 2",#N/A,FALSE,"Schedule B";"Schedule C",#N/A,FALSE,"Schedule C"}</definedName>
    <definedName name="wrn.Basic." hidden="1">{#N/A,#N/A,FALSE,"O&amp;M by processes";#N/A,#N/A,FALSE,"Elec Act vs Bud";#N/A,#N/A,FALSE,"G&amp;A";#N/A,#N/A,FALSE,"BGS";#N/A,#N/A,FALSE,"Res Cost"}</definedName>
    <definedName name="wrn.CFC._.QUARTER." localSheetId="7" hidden="1">{"CFC COMPARISON",#N/A,FALSE,"CFCCOMP";"CREDIT LETTER",#N/A,FALSE,"CFCCOMP";"DEBT OBLIGATION",#N/A,FALSE,"CFCCOMP";"OFFICERS CERTIFICATE",#N/A,FALSE,"CFCCOMP"}</definedName>
    <definedName name="wrn.CFC._.QUARTER." localSheetId="8" hidden="1">{"CFC COMPARISON",#N/A,FALSE,"CFCCOMP";"CREDIT LETTER",#N/A,FALSE,"CFCCOMP";"DEBT OBLIGATION",#N/A,FALSE,"CFCCOMP";"OFFICERS CERTIFICATE",#N/A,FALSE,"CFCCOMP"}</definedName>
    <definedName name="wrn.CFC._.QUARTER." localSheetId="9" hidden="1">{"CFC COMPARISON",#N/A,FALSE,"CFCCOMP";"CREDIT LETTER",#N/A,FALSE,"CFCCOMP";"DEBT OBLIGATION",#N/A,FALSE,"CFCCOMP";"OFFICERS CERTIFICATE",#N/A,FALSE,"CFCCOMP"}</definedName>
    <definedName name="wrn.CFC._.QUARTER." localSheetId="6" hidden="1">{"CFC COMPARISON",#N/A,FALSE,"CFCCOMP";"CREDIT LETTER",#N/A,FALSE,"CFCCOMP";"DEBT OBLIGATION",#N/A,FALSE,"CFCCOMP";"OFFICERS CERTIFICATE",#N/A,FALSE,"CFCCOMP"}</definedName>
    <definedName name="wrn.CFC._.QUARTER." localSheetId="10" hidden="1">{"CFC COMPARISON",#N/A,FALSE,"CFCCOMP";"CREDIT LETTER",#N/A,FALSE,"CFCCOMP";"DEBT OBLIGATION",#N/A,FALSE,"CFCCOMP";"OFFICERS CERTIFICATE",#N/A,FALSE,"CFCCOMP"}</definedName>
    <definedName name="wrn.CFC._.QUARTER." localSheetId="5"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_.Update."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definedName>
    <definedName name="wrn.Filing._.Update09"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definedName>
    <definedName name="wrn.FUEL._.SCHEDULE." localSheetId="7" hidden="1">{"COVER",#N/A,FALSE,"COVERPMT";"COMPANY ORDER",#N/A,FALSE,"COVERPMT";"EXHIBIT A",#N/A,FALSE,"COVERPMT"}</definedName>
    <definedName name="wrn.FUEL._.SCHEDULE." localSheetId="8" hidden="1">{"COVER",#N/A,FALSE,"COVERPMT";"COMPANY ORDER",#N/A,FALSE,"COVERPMT";"EXHIBIT A",#N/A,FALSE,"COVERPMT"}</definedName>
    <definedName name="wrn.FUEL._.SCHEDULE." localSheetId="9" hidden="1">{"COVER",#N/A,FALSE,"COVERPMT";"COMPANY ORDER",#N/A,FALSE,"COVERPMT";"EXHIBIT A",#N/A,FALSE,"COVERPMT"}</definedName>
    <definedName name="wrn.FUEL._.SCHEDULE." localSheetId="6" hidden="1">{"COVER",#N/A,FALSE,"COVERPMT";"COMPANY ORDER",#N/A,FALSE,"COVERPMT";"EXHIBIT A",#N/A,FALSE,"COVERPMT"}</definedName>
    <definedName name="wrn.FUEL._.SCHEDULE." localSheetId="10" hidden="1">{"COVER",#N/A,FALSE,"COVERPMT";"COMPANY ORDER",#N/A,FALSE,"COVERPMT";"EXHIBIT A",#N/A,FALSE,"COVERPMT"}</definedName>
    <definedName name="wrn.FUEL._.SCHEDULE." localSheetId="5" hidden="1">{"COVER",#N/A,FALSE,"COVERPMT";"COMPANY ORDER",#N/A,FALSE,"COVERPMT";"EXHIBIT A",#N/A,FALSE,"COVERPMT"}</definedName>
    <definedName name="wrn.FUEL._.SCHEDULE." localSheetId="4" hidden="1">{"COVER",#N/A,FALSE,"COVERPMT";"COMPANY ORDER",#N/A,FALSE,"COVERPMT";"EXHIBIT A",#N/A,FALSE,"COVERPMT"}</definedName>
    <definedName name="wrn.FUEL._.SCHEDULE." localSheetId="1" hidden="1">{"COVER",#N/A,FALSE,"COVERPMT";"COMPANY ORDER",#N/A,FALSE,"COVERPMT";"EXHIBIT A",#N/A,FALSE,"COVERPMT"}</definedName>
    <definedName name="wrn.FUEL._.SCHEDULE." localSheetId="2"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wrn.HLP._.Detail." hidden="1">{"2002 - 2006 Detail Income Statement",#N/A,FALSE,"TUB Income Statement wo DW";"BGS Deferral",#N/A,FALSE,"BGS Deferral";"NNC Deferral",#N/A,FALSE,"NNC Deferral";"MTC Deferral",#N/A,FALSE,"MTC Deferral";#N/A,#N/A,FALSE,"Schedule D"}</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_D._.Tax._.Services." hidden="1">{#N/A,#N/A,FALSE,"R&amp;D Quick Calc";#N/A,#N/A,FALSE,"DOE Fee Schedule"}</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ettlement._.Analysis." hidden="1">{"Assumptions",#N/A,FALSE,"Assumptions";"2003 - 2007 Summary",#N/A,FALSE,"Income Statement";"Summary Deferral Forecast",#N/A,FALSE,"Deferral Forecast"}</definedName>
    <definedName name="wrn.tax._._Accrual09" hidden="1">{#N/A,#N/A,TRUE,"TAXPROV";#N/A,#N/A,TRUE,"FLOWTHRU";#N/A,#N/A,TRUE,"SCHEDULE M'S";#N/A,#N/A,TRUE,"PLANT M'S";#N/A,#N/A,TRUE,"TAXJE"}</definedName>
    <definedName name="wrn.Tax._.Accrual." hidden="1">{#N/A,#N/A,TRUE,"TAXPROV";#N/A,#N/A,TRUE,"FLOWTHRU";#N/A,#N/A,TRUE,"SCHEDULE M'S";#N/A,#N/A,TRUE,"PLANT M'S";#N/A,#N/A,TRUE,"TAXJE"}</definedName>
    <definedName name="wrn.TBC._.Update." hidden="1">{#N/A,#N/A,FALSE,"TABLE I";#N/A,#N/A,FALSE,"TBC Development";#N/A,#N/A,FALSE,"MTC -Tax Development";#N/A,#N/A,FALSE,"MTC - Tax descriptions";#N/A,#N/A,FALSE,"MTC -Tax True Up"}</definedName>
    <definedName name="Xcel_COS" localSheetId="0">#REF!</definedName>
    <definedName name="xcvxvx">#REF!</definedName>
    <definedName name="xvxvxzvxc">#REF!</definedName>
    <definedName name="xzczczczxc">#REF!</definedName>
    <definedName name="y" hidden="1">{#N/A,#N/A,FALSE,"Monthly SAIFI";#N/A,#N/A,FALSE,"Yearly SAIFI";#N/A,#N/A,FALSE,"Monthly CAIDI";#N/A,#N/A,FALSE,"Yearly CAIDI";#N/A,#N/A,FALSE,"Monthly SAIDI";#N/A,#N/A,FALSE,"Yearly SAIDI";#N/A,#N/A,FALSE,"Monthly MAIFI";#N/A,#N/A,FALSE,"Yearly MAIFI";#N/A,#N/A,FALSE,"Monthly Cust &gt;=4 Int"}</definedName>
    <definedName name="Year">#REF!</definedName>
    <definedName name="Year4BGS">#REF!</definedName>
    <definedName name="YesNo">#REF!</definedName>
    <definedName name="YORK_COUNTY">#REF!</definedName>
    <definedName name="yryryrr" hidden="1">{#N/A,#N/A,FALSE,"Monthly SAIFI";#N/A,#N/A,FALSE,"Yearly SAIFI";#N/A,#N/A,FALSE,"Monthly CAIDI";#N/A,#N/A,FALSE,"Yearly CAIDI";#N/A,#N/A,FALSE,"Monthly SAIDI";#N/A,#N/A,FALSE,"Yearly SAIDI";#N/A,#N/A,FALSE,"Monthly MAIFI";#N/A,#N/A,FALSE,"Yearly MAIFI";#N/A,#N/A,FALSE,"Monthly Cust &gt;=4 Int"}</definedName>
    <definedName name="YTDCFLE">#REF!</definedName>
    <definedName name="z" hidden="1">{#N/A,#N/A,FALSE,"Monthly SAIFI";#N/A,#N/A,FALSE,"Yearly SAIFI";#N/A,#N/A,FALSE,"Monthly CAIDI";#N/A,#N/A,FALSE,"Yearly CAIDI";#N/A,#N/A,FALSE,"Monthly SAIDI";#N/A,#N/A,FALSE,"Yearly SAIDI";#N/A,#N/A,FALSE,"Monthly MAIFI";#N/A,#N/A,FALSE,"Yearly MAIFI";#N/A,#N/A,FALSE,"Monthly Cust &gt;=4 Int"}</definedName>
    <definedName name="Z_E3A30FBC_675D_4AD8_9B2D_12956792A138_.wvu.Rows" localSheetId="5" hidden="1">#REF!</definedName>
    <definedName name="Z_E3A30FBC_675D_4AD8_9B2D_12956792A138_.wvu.Rows" localSheetId="4" hidden="1">#REF!</definedName>
    <definedName name="Z_E3A30FBC_675D_4AD8_9B2D_12956792A138_.wvu.Rows" localSheetId="1" hidden="1">#REF!</definedName>
    <definedName name="Z_E3A30FBC_675D_4AD8_9B2D_12956792A138_.wvu.Rows" localSheetId="0"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8" i="39" l="1"/>
  <c r="L48" i="39"/>
  <c r="K48" i="39"/>
  <c r="J48" i="39"/>
  <c r="I48" i="39"/>
  <c r="H48" i="39"/>
  <c r="F47" i="39"/>
  <c r="E47" i="39"/>
  <c r="D47" i="39"/>
  <c r="C47" i="39"/>
  <c r="G47" i="39" s="1"/>
  <c r="F46" i="39"/>
  <c r="E46" i="39"/>
  <c r="D46" i="39"/>
  <c r="C46" i="39"/>
  <c r="G46" i="39" s="1"/>
  <c r="F45" i="39"/>
  <c r="F48" i="39" s="1"/>
  <c r="E45" i="39"/>
  <c r="E48" i="39" s="1"/>
  <c r="D45" i="39"/>
  <c r="D48" i="39" s="1"/>
  <c r="C45" i="39"/>
  <c r="M44" i="39"/>
  <c r="M49" i="39" s="1"/>
  <c r="L44" i="39"/>
  <c r="L49" i="39" s="1"/>
  <c r="K44" i="39"/>
  <c r="K49" i="39" s="1"/>
  <c r="J44" i="39"/>
  <c r="J49" i="39" s="1"/>
  <c r="I44" i="39"/>
  <c r="I49" i="39" s="1"/>
  <c r="H44" i="39"/>
  <c r="H49" i="39" s="1"/>
  <c r="F42" i="39"/>
  <c r="E42" i="39"/>
  <c r="D42" i="39"/>
  <c r="C42" i="39"/>
  <c r="G42" i="39" s="1"/>
  <c r="F41" i="39"/>
  <c r="E41" i="39"/>
  <c r="D41" i="39"/>
  <c r="C41" i="39"/>
  <c r="G41" i="39" s="1"/>
  <c r="F40" i="39"/>
  <c r="E40" i="39"/>
  <c r="D40" i="39"/>
  <c r="C40" i="39"/>
  <c r="G40" i="39" s="1"/>
  <c r="F39" i="39"/>
  <c r="E39" i="39"/>
  <c r="D39" i="39"/>
  <c r="C39" i="39"/>
  <c r="G39" i="39" s="1"/>
  <c r="F38" i="39"/>
  <c r="E38" i="39"/>
  <c r="D38" i="39"/>
  <c r="C38" i="39"/>
  <c r="G38" i="39" s="1"/>
  <c r="F37" i="39"/>
  <c r="E37" i="39"/>
  <c r="D37" i="39"/>
  <c r="C37" i="39"/>
  <c r="G37" i="39" s="1"/>
  <c r="F36" i="39"/>
  <c r="E36" i="39"/>
  <c r="D36" i="39"/>
  <c r="C36" i="39"/>
  <c r="G36" i="39" s="1"/>
  <c r="F35" i="39"/>
  <c r="E35" i="39"/>
  <c r="D35" i="39"/>
  <c r="C35" i="39"/>
  <c r="G35" i="39" s="1"/>
  <c r="F34" i="39"/>
  <c r="F44" i="39" s="1"/>
  <c r="F49" i="39" s="1"/>
  <c r="E34" i="39"/>
  <c r="E44" i="39" s="1"/>
  <c r="E49" i="39" s="1"/>
  <c r="D34" i="39"/>
  <c r="D44" i="39" s="1"/>
  <c r="D49" i="39" s="1"/>
  <c r="C34" i="39"/>
  <c r="F30" i="39"/>
  <c r="E30" i="39"/>
  <c r="D30" i="39"/>
  <c r="C30" i="39"/>
  <c r="G30" i="39" s="1"/>
  <c r="M23" i="39"/>
  <c r="L23" i="39"/>
  <c r="K23" i="39"/>
  <c r="J23" i="39"/>
  <c r="I23" i="39"/>
  <c r="H23" i="39"/>
  <c r="F22" i="39"/>
  <c r="E22" i="39"/>
  <c r="D22" i="39"/>
  <c r="C22" i="39"/>
  <c r="G22" i="39" s="1"/>
  <c r="F21" i="39"/>
  <c r="F23" i="39" s="1"/>
  <c r="E21" i="39"/>
  <c r="E23" i="39" s="1"/>
  <c r="D21" i="39"/>
  <c r="D23" i="39" s="1"/>
  <c r="C21" i="39"/>
  <c r="M17" i="39"/>
  <c r="L17" i="39"/>
  <c r="K17" i="39"/>
  <c r="J17" i="39"/>
  <c r="I17" i="39"/>
  <c r="H17" i="39"/>
  <c r="C17" i="39"/>
  <c r="F16" i="39"/>
  <c r="E16" i="39"/>
  <c r="D16" i="39"/>
  <c r="C16" i="39"/>
  <c r="G16" i="39" s="1"/>
  <c r="F15" i="39"/>
  <c r="E15" i="39"/>
  <c r="D15" i="39"/>
  <c r="C15" i="39"/>
  <c r="G15" i="39" s="1"/>
  <c r="F14" i="39"/>
  <c r="F17" i="39" s="1"/>
  <c r="E14" i="39"/>
  <c r="E17" i="39" s="1"/>
  <c r="D14" i="39"/>
  <c r="D17" i="39" s="1"/>
  <c r="C14" i="39"/>
  <c r="G14" i="39" s="1"/>
  <c r="M13" i="39"/>
  <c r="L13" i="39"/>
  <c r="K13" i="39"/>
  <c r="J13" i="39"/>
  <c r="I13" i="39"/>
  <c r="H13" i="39"/>
  <c r="F12" i="39"/>
  <c r="E12" i="39"/>
  <c r="D12" i="39"/>
  <c r="C12" i="39"/>
  <c r="G12" i="39" s="1"/>
  <c r="F11" i="39"/>
  <c r="E11" i="39"/>
  <c r="D11" i="39"/>
  <c r="C11" i="39"/>
  <c r="G11" i="39" s="1"/>
  <c r="F10" i="39"/>
  <c r="E10" i="39"/>
  <c r="D10" i="39"/>
  <c r="C10" i="39"/>
  <c r="G10" i="39" s="1"/>
  <c r="F9" i="39"/>
  <c r="E9" i="39"/>
  <c r="D9" i="39"/>
  <c r="C9" i="39"/>
  <c r="G9" i="39" s="1"/>
  <c r="F8" i="39"/>
  <c r="E8" i="39"/>
  <c r="D8" i="39"/>
  <c r="C8" i="39"/>
  <c r="G8" i="39" s="1"/>
  <c r="F7" i="39"/>
  <c r="E7" i="39"/>
  <c r="D7" i="39"/>
  <c r="C7" i="39"/>
  <c r="G7" i="39" s="1"/>
  <c r="F6" i="39"/>
  <c r="E6" i="39"/>
  <c r="D6" i="39"/>
  <c r="C6" i="39"/>
  <c r="G6" i="39" s="1"/>
  <c r="F5" i="39"/>
  <c r="F13" i="39" s="1"/>
  <c r="E5" i="39"/>
  <c r="E13" i="39" s="1"/>
  <c r="D5" i="39"/>
  <c r="D13" i="39" s="1"/>
  <c r="C5" i="39"/>
  <c r="D16" i="41"/>
  <c r="C19" i="40"/>
  <c r="C10" i="40"/>
  <c r="I7" i="40"/>
  <c r="H7" i="40"/>
  <c r="C7" i="32"/>
  <c r="B7" i="32"/>
  <c r="O18" i="30"/>
  <c r="N18" i="30"/>
  <c r="M18" i="30"/>
  <c r="L18" i="30"/>
  <c r="K18" i="30"/>
  <c r="J18" i="30"/>
  <c r="I18" i="30"/>
  <c r="H18" i="30"/>
  <c r="G18" i="30"/>
  <c r="F18" i="30"/>
  <c r="E18" i="30"/>
  <c r="D18" i="30"/>
  <c r="AB12" i="30"/>
  <c r="AA12" i="30"/>
  <c r="Z12" i="30"/>
  <c r="M12" i="30"/>
  <c r="L12" i="30"/>
  <c r="K12" i="30"/>
  <c r="J12" i="30"/>
  <c r="I12" i="30"/>
  <c r="H12" i="30"/>
  <c r="E12" i="30"/>
  <c r="D12" i="30"/>
  <c r="AB11" i="30"/>
  <c r="AA11" i="30"/>
  <c r="Z11" i="30"/>
  <c r="AB10" i="30"/>
  <c r="AA10" i="30"/>
  <c r="Z10" i="30"/>
  <c r="O10" i="30"/>
  <c r="N10" i="30"/>
  <c r="AB9" i="30"/>
  <c r="AA9" i="30"/>
  <c r="Z9" i="30"/>
  <c r="G9" i="30"/>
  <c r="G12" i="30" s="1"/>
  <c r="F9" i="30"/>
  <c r="AB8" i="30"/>
  <c r="AA8" i="30"/>
  <c r="Z8" i="30"/>
  <c r="N8" i="30"/>
  <c r="AB7" i="30"/>
  <c r="AA7" i="30"/>
  <c r="Z7" i="30"/>
  <c r="B3" i="30"/>
  <c r="I23" i="50"/>
  <c r="H23" i="50"/>
  <c r="G23" i="50"/>
  <c r="F23" i="50"/>
  <c r="E23" i="50"/>
  <c r="D23" i="50"/>
  <c r="I19" i="50"/>
  <c r="H19" i="50"/>
  <c r="G19" i="50"/>
  <c r="F19" i="50"/>
  <c r="E19" i="50"/>
  <c r="D19" i="50"/>
  <c r="I15" i="50"/>
  <c r="H15" i="50"/>
  <c r="E15" i="50"/>
  <c r="D15" i="50"/>
  <c r="G11" i="50"/>
  <c r="G10" i="50"/>
  <c r="F9" i="50"/>
  <c r="G8" i="50"/>
  <c r="G15" i="50" s="1"/>
  <c r="F8" i="50"/>
  <c r="B3" i="50"/>
  <c r="J12" i="47"/>
  <c r="I12" i="47"/>
  <c r="J11" i="47"/>
  <c r="I11" i="47"/>
  <c r="J10" i="47"/>
  <c r="I10" i="47"/>
  <c r="J9" i="47"/>
  <c r="I9" i="47"/>
  <c r="J8" i="47"/>
  <c r="I8" i="47"/>
  <c r="J6" i="47"/>
  <c r="I6" i="47"/>
  <c r="I40" i="27"/>
  <c r="V37" i="27"/>
  <c r="U37" i="27"/>
  <c r="T37" i="27"/>
  <c r="S37" i="27"/>
  <c r="R37" i="27"/>
  <c r="Q37" i="27"/>
  <c r="P37" i="27"/>
  <c r="N37" i="27"/>
  <c r="M37" i="27"/>
  <c r="L37" i="27"/>
  <c r="J37" i="27"/>
  <c r="H37" i="27"/>
  <c r="F37" i="27"/>
  <c r="E37" i="27"/>
  <c r="D37" i="27"/>
  <c r="I36" i="27"/>
  <c r="G36" i="27"/>
  <c r="T32" i="27"/>
  <c r="S32" i="27"/>
  <c r="R32" i="27"/>
  <c r="Q32" i="27"/>
  <c r="N32" i="27"/>
  <c r="M32" i="27"/>
  <c r="L32" i="27"/>
  <c r="I32" i="27"/>
  <c r="H32" i="27"/>
  <c r="F32" i="27"/>
  <c r="D32" i="27"/>
  <c r="T26" i="27"/>
  <c r="S26" i="27"/>
  <c r="R26" i="27"/>
  <c r="Q26" i="27"/>
  <c r="N26" i="27"/>
  <c r="L26" i="27"/>
  <c r="F26" i="27"/>
  <c r="E26" i="27"/>
  <c r="D26" i="27"/>
  <c r="M25" i="27"/>
  <c r="O25" i="27" s="1"/>
  <c r="I25" i="27"/>
  <c r="H25" i="27"/>
  <c r="J25" i="27" s="1"/>
  <c r="M24" i="27"/>
  <c r="O24" i="27" s="1"/>
  <c r="I24" i="27"/>
  <c r="H24" i="27"/>
  <c r="J24" i="27" s="1"/>
  <c r="G24" i="27"/>
  <c r="M23" i="27"/>
  <c r="O23" i="27" s="1"/>
  <c r="I23" i="27"/>
  <c r="H23" i="27"/>
  <c r="J23" i="27" s="1"/>
  <c r="G23" i="27"/>
  <c r="M22" i="27"/>
  <c r="I22" i="27"/>
  <c r="H22" i="27"/>
  <c r="G22" i="27"/>
  <c r="E19" i="27"/>
  <c r="S18" i="27"/>
  <c r="R18" i="27"/>
  <c r="F18" i="27"/>
  <c r="AI17" i="27"/>
  <c r="AH17" i="27"/>
  <c r="AG17" i="27"/>
  <c r="M17" i="27"/>
  <c r="I17" i="27"/>
  <c r="H17" i="27"/>
  <c r="J17" i="27" s="1"/>
  <c r="G17" i="27"/>
  <c r="AI16" i="27"/>
  <c r="AH16" i="27"/>
  <c r="V24" i="27" s="1"/>
  <c r="AG16" i="27"/>
  <c r="M16" i="27"/>
  <c r="O16" i="27" s="1"/>
  <c r="I16" i="27"/>
  <c r="H16" i="27"/>
  <c r="J16" i="27" s="1"/>
  <c r="G16" i="27"/>
  <c r="AI15" i="27"/>
  <c r="AH15" i="27"/>
  <c r="V22" i="27" s="1"/>
  <c r="AG15" i="27"/>
  <c r="M15" i="27"/>
  <c r="O15" i="27" s="1"/>
  <c r="I15" i="27"/>
  <c r="H15" i="27"/>
  <c r="J15" i="27" s="1"/>
  <c r="G15" i="27"/>
  <c r="AI14" i="27"/>
  <c r="AH14" i="27"/>
  <c r="V25" i="27" s="1"/>
  <c r="AG14" i="27"/>
  <c r="T14" i="27"/>
  <c r="T19" i="27" s="1"/>
  <c r="S14" i="27"/>
  <c r="R14" i="27"/>
  <c r="R19" i="27" s="1"/>
  <c r="Q14" i="27"/>
  <c r="N14" i="27"/>
  <c r="M14" i="27"/>
  <c r="M19" i="27" s="1"/>
  <c r="L14" i="27"/>
  <c r="L19" i="27" s="1"/>
  <c r="I14" i="27"/>
  <c r="F14" i="27"/>
  <c r="D14" i="27"/>
  <c r="D19" i="27" s="1"/>
  <c r="AI13" i="27"/>
  <c r="AH13" i="27"/>
  <c r="V23" i="27" s="1"/>
  <c r="AG13" i="27"/>
  <c r="H13" i="27"/>
  <c r="J13" i="27" s="1"/>
  <c r="AI12" i="27"/>
  <c r="AH12" i="27"/>
  <c r="AG12" i="27"/>
  <c r="J12" i="27"/>
  <c r="AI11" i="27"/>
  <c r="AH11" i="27"/>
  <c r="V17" i="27" s="1"/>
  <c r="AG11" i="27"/>
  <c r="H11" i="27"/>
  <c r="AI10" i="27"/>
  <c r="AH10" i="27"/>
  <c r="V15" i="27" s="1"/>
  <c r="AG10" i="27"/>
  <c r="H10" i="27"/>
  <c r="J10" i="27" s="1"/>
  <c r="AI9" i="27"/>
  <c r="AH9" i="27"/>
  <c r="V16" i="27" s="1"/>
  <c r="AG9" i="27"/>
  <c r="H9" i="27"/>
  <c r="J9" i="27" s="1"/>
  <c r="AI8" i="27"/>
  <c r="AH8" i="27"/>
  <c r="AG8" i="27"/>
  <c r="V8" i="27"/>
  <c r="U8" i="27"/>
  <c r="P8" i="27"/>
  <c r="H8" i="27"/>
  <c r="AI7" i="27"/>
  <c r="AH7" i="27"/>
  <c r="V18" i="27" s="1"/>
  <c r="AG7" i="27"/>
  <c r="P18" i="27" s="1"/>
  <c r="M28" i="25"/>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 r="H14" i="27" l="1"/>
  <c r="H19" i="27" s="1"/>
  <c r="J8" i="27"/>
  <c r="U13" i="27"/>
  <c r="P13" i="27"/>
  <c r="U12" i="27"/>
  <c r="P12" i="27"/>
  <c r="U11" i="27"/>
  <c r="P11" i="27"/>
  <c r="U10" i="27"/>
  <c r="P10" i="27"/>
  <c r="U9" i="27"/>
  <c r="U14" i="27" s="1"/>
  <c r="P9" i="27"/>
  <c r="P14" i="27" s="1"/>
  <c r="V13" i="27"/>
  <c r="V12" i="27"/>
  <c r="V11" i="27"/>
  <c r="V10" i="27"/>
  <c r="V9" i="27"/>
  <c r="V14" i="27" s="1"/>
  <c r="V19" i="27" s="1"/>
  <c r="U16" i="27"/>
  <c r="P16" i="27"/>
  <c r="U15" i="27"/>
  <c r="P15" i="27"/>
  <c r="J11" i="27"/>
  <c r="U17" i="27"/>
  <c r="P17" i="27"/>
  <c r="U31" i="27"/>
  <c r="P31" i="27"/>
  <c r="U30" i="27"/>
  <c r="P30" i="27"/>
  <c r="U29" i="27"/>
  <c r="P29" i="27"/>
  <c r="U28" i="27"/>
  <c r="U32" i="27" s="1"/>
  <c r="P28" i="27"/>
  <c r="P32" i="27" s="1"/>
  <c r="V31" i="27"/>
  <c r="V30" i="27"/>
  <c r="V29" i="27"/>
  <c r="V28" i="27"/>
  <c r="V32" i="27" s="1"/>
  <c r="U23" i="27"/>
  <c r="P23" i="27"/>
  <c r="F19" i="27"/>
  <c r="G14" i="27"/>
  <c r="I19" i="27"/>
  <c r="D16" i="40"/>
  <c r="D7" i="40"/>
  <c r="N19" i="27"/>
  <c r="O14" i="27"/>
  <c r="Q19" i="27"/>
  <c r="S19" i="27"/>
  <c r="U25" i="27"/>
  <c r="P25" i="27"/>
  <c r="K15" i="27"/>
  <c r="U22" i="27"/>
  <c r="P22" i="27"/>
  <c r="V26" i="27"/>
  <c r="K16" i="27"/>
  <c r="U24" i="27"/>
  <c r="P24" i="27"/>
  <c r="K17" i="27"/>
  <c r="U18" i="27"/>
  <c r="H26" i="27"/>
  <c r="J22" i="27"/>
  <c r="I26" i="27"/>
  <c r="M26" i="27"/>
  <c r="O22" i="27"/>
  <c r="K23" i="27"/>
  <c r="K24" i="27"/>
  <c r="K25" i="27"/>
  <c r="G26" i="27"/>
  <c r="O26" i="27"/>
  <c r="G32" i="27"/>
  <c r="J32" i="27"/>
  <c r="D17" i="40"/>
  <c r="E17" i="40" s="1"/>
  <c r="D8" i="40"/>
  <c r="E8" i="40" s="1"/>
  <c r="O32" i="27"/>
  <c r="I37" i="27"/>
  <c r="K36" i="27"/>
  <c r="K37" i="27" s="1"/>
  <c r="D39" i="27"/>
  <c r="E39" i="27"/>
  <c r="F39" i="27"/>
  <c r="G39" i="27" s="1"/>
  <c r="G37" i="27"/>
  <c r="H39" i="27"/>
  <c r="L39" i="27"/>
  <c r="M39" i="27"/>
  <c r="N39" i="27"/>
  <c r="Q39" i="27"/>
  <c r="R39" i="27"/>
  <c r="S39" i="27"/>
  <c r="T39" i="27"/>
  <c r="V39" i="27"/>
  <c r="K40" i="27"/>
  <c r="F15" i="50"/>
  <c r="D25" i="50"/>
  <c r="E25" i="50"/>
  <c r="F25" i="50"/>
  <c r="G25" i="50"/>
  <c r="H25" i="50"/>
  <c r="I25" i="50"/>
  <c r="O15" i="30"/>
  <c r="N15" i="30"/>
  <c r="O14" i="30"/>
  <c r="N14" i="30"/>
  <c r="O9" i="30"/>
  <c r="N9" i="30"/>
  <c r="F12" i="30"/>
  <c r="O11" i="30"/>
  <c r="N11" i="30"/>
  <c r="D20" i="30"/>
  <c r="E20" i="30"/>
  <c r="F20" i="30"/>
  <c r="G20" i="30"/>
  <c r="H20" i="30"/>
  <c r="I20" i="30"/>
  <c r="J20" i="30"/>
  <c r="K20" i="30"/>
  <c r="L20" i="30"/>
  <c r="M20" i="30"/>
  <c r="D7" i="32"/>
  <c r="F7" i="32" s="1"/>
  <c r="C12" i="40"/>
  <c r="C21" i="40"/>
  <c r="C13" i="39"/>
  <c r="G5" i="39"/>
  <c r="G13" i="39" s="1"/>
  <c r="D26" i="39"/>
  <c r="K6" i="47" s="1"/>
  <c r="D18" i="39"/>
  <c r="M6" i="47" s="1"/>
  <c r="E26" i="39"/>
  <c r="E18" i="39"/>
  <c r="F26" i="39"/>
  <c r="F18" i="39"/>
  <c r="H29" i="39"/>
  <c r="H26" i="39"/>
  <c r="K9" i="47" s="1"/>
  <c r="H18" i="39"/>
  <c r="M9" i="47" s="1"/>
  <c r="I29" i="39"/>
  <c r="I26" i="39"/>
  <c r="K8" i="47" s="1"/>
  <c r="I18" i="39"/>
  <c r="M8" i="47" s="1"/>
  <c r="J29" i="39"/>
  <c r="J31" i="39" s="1"/>
  <c r="L10" i="47" s="1"/>
  <c r="J26" i="39"/>
  <c r="K10" i="47" s="1"/>
  <c r="J18" i="39"/>
  <c r="M10" i="47" s="1"/>
  <c r="K29" i="39"/>
  <c r="K31" i="39" s="1"/>
  <c r="L11" i="47" s="1"/>
  <c r="K26" i="39"/>
  <c r="K11" i="47" s="1"/>
  <c r="K18" i="39"/>
  <c r="M11" i="47" s="1"/>
  <c r="L29" i="39"/>
  <c r="L26" i="39"/>
  <c r="K12" i="47" s="1"/>
  <c r="L18" i="39"/>
  <c r="M12" i="47" s="1"/>
  <c r="M29" i="39"/>
  <c r="M26" i="39"/>
  <c r="M18" i="39"/>
  <c r="G17" i="39"/>
  <c r="C23" i="39"/>
  <c r="G21" i="39"/>
  <c r="G23" i="39" s="1"/>
  <c r="J5" i="47" s="1"/>
  <c r="C44" i="39"/>
  <c r="G34" i="39"/>
  <c r="C48" i="39"/>
  <c r="G48" i="39" s="1"/>
  <c r="G45" i="39"/>
  <c r="C49" i="39" l="1"/>
  <c r="G44" i="39"/>
  <c r="G49" i="39" s="1"/>
  <c r="I5" i="47" s="1"/>
  <c r="M31" i="39"/>
  <c r="E29" i="39"/>
  <c r="E31" i="39" s="1"/>
  <c r="L31" i="39"/>
  <c r="L12" i="47" s="1"/>
  <c r="F29" i="39"/>
  <c r="F31" i="39" s="1"/>
  <c r="I31" i="39"/>
  <c r="L8" i="47" s="1"/>
  <c r="D29" i="39"/>
  <c r="D31" i="39" s="1"/>
  <c r="L6" i="47" s="1"/>
  <c r="H31" i="39"/>
  <c r="L9" i="47" s="1"/>
  <c r="C29" i="39"/>
  <c r="G26" i="39"/>
  <c r="K5" i="47" s="1"/>
  <c r="G18" i="39"/>
  <c r="M5" i="47" s="1"/>
  <c r="C26" i="39"/>
  <c r="C18" i="39"/>
  <c r="N12" i="30"/>
  <c r="N20" i="30" s="1"/>
  <c r="O12" i="30"/>
  <c r="O20" i="30" s="1"/>
  <c r="O39" i="27"/>
  <c r="I39" i="27"/>
  <c r="K32" i="27"/>
  <c r="D18" i="40"/>
  <c r="E18" i="40" s="1"/>
  <c r="D9" i="40"/>
  <c r="E9" i="40" s="1"/>
  <c r="J26" i="27"/>
  <c r="K22" i="27"/>
  <c r="P26" i="27"/>
  <c r="U26" i="27"/>
  <c r="O19" i="27"/>
  <c r="D10" i="40"/>
  <c r="E7" i="40"/>
  <c r="D19" i="40"/>
  <c r="E16" i="40"/>
  <c r="G19" i="27"/>
  <c r="P19" i="27"/>
  <c r="U19" i="27"/>
  <c r="J14" i="27"/>
  <c r="J19" i="27" l="1"/>
  <c r="K14" i="27"/>
  <c r="D21" i="40"/>
  <c r="E21" i="40" s="1"/>
  <c r="E19" i="40"/>
  <c r="D12" i="40"/>
  <c r="E12" i="40" s="1"/>
  <c r="E10" i="40"/>
  <c r="U39" i="27"/>
  <c r="P39" i="27"/>
  <c r="K26" i="27"/>
  <c r="J39" i="27"/>
  <c r="C31" i="39"/>
  <c r="G29" i="39"/>
  <c r="G31" i="39" s="1"/>
  <c r="L5" i="47" s="1"/>
  <c r="K39" i="27" l="1"/>
  <c r="K19" i="27"/>
</calcChain>
</file>

<file path=xl/sharedStrings.xml><?xml version="1.0" encoding="utf-8"?>
<sst xmlns="http://schemas.openxmlformats.org/spreadsheetml/2006/main" count="675" uniqueCount="317">
  <si>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</si>
  <si>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</si>
  <si>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</si>
  <si>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</si>
  <si>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</si>
  <si>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</si>
  <si>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</si>
  <si>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</si>
  <si>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</si>
  <si>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</si>
  <si>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</si>
  <si>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</si>
  <si>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</si>
  <si>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</si>
  <si>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</si>
  <si>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</si>
  <si>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</si>
  <si>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</si>
  <si>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</si>
  <si>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</si>
  <si>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</si>
  <si>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</si>
  <si>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</si>
  <si>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</si>
  <si>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</si>
  <si>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</si>
  <si>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</si>
  <si>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</si>
  <si>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</si>
  <si>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</si>
  <si>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</si>
  <si>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</si>
  <si>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</si>
  <si>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</si>
  <si>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</si>
  <si>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</si>
  <si>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</si>
  <si>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</si>
  <si>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</si>
  <si>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</si>
  <si>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</si>
  <si>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</si>
  <si>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</si>
  <si>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</si>
  <si>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</si>
  <si>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</si>
  <si>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</si>
  <si>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</si>
  <si>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</si>
  <si>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</si>
  <si>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</si>
  <si>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</si>
  <si>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</si>
  <si>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</si>
  <si>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</si>
  <si>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For Period Ending PY23 Q1</t>
  </si>
  <si>
    <t>7/1/2022-9/30/2022</t>
  </si>
  <si>
    <t>Ex Ante Energy Savings</t>
  </si>
  <si>
    <t>**Supplement for Annual Report</t>
  </si>
  <si>
    <t>D=C/B</t>
  </si>
  <si>
    <t>G</t>
  </si>
  <si>
    <t>H=G/F</t>
  </si>
  <si>
    <t>J</t>
  </si>
  <si>
    <t>L=K/J</t>
  </si>
  <si>
    <t>M</t>
  </si>
  <si>
    <t>N</t>
  </si>
  <si>
    <t>O</t>
  </si>
  <si>
    <t>P</t>
  </si>
  <si>
    <t>Q</t>
  </si>
  <si>
    <t>R</t>
  </si>
  <si>
    <t>S</t>
  </si>
  <si>
    <t>Current Quarter</t>
  </si>
  <si>
    <t>Annual Forecasted Participation Number</t>
  </si>
  <si>
    <t>Reported Participation Number YTD</t>
  </si>
  <si>
    <t>YTD % of Annual Participants</t>
  </si>
  <si>
    <t>Current Quarter ($000)</t>
  </si>
  <si>
    <r>
      <t>Annual Forecasted Program Costs ($000)</t>
    </r>
    <r>
      <rPr>
        <vertAlign val="superscript"/>
        <sz val="9"/>
        <color rgb="FFFFFFFF"/>
        <rFont val="Calibri"/>
        <family val="2"/>
        <scheme val="minor"/>
      </rPr>
      <t>2</t>
    </r>
  </si>
  <si>
    <t>Reported Program Costs YTD ($000)</t>
  </si>
  <si>
    <t>YTD % of Annual Budget</t>
  </si>
  <si>
    <t>Current Quarter Annual Retail Energy Savings (MWh)</t>
  </si>
  <si>
    <t>Annual Forecasted Retail Energy Savings (MWh)</t>
  </si>
  <si>
    <t>Reported Annual Retail Energy Savings YTD (MWh)</t>
  </si>
  <si>
    <t>YTD % of Annual Energy Savings</t>
  </si>
  <si>
    <t>Current Quarter  Annual Wholesale Energy Savings (MWh)</t>
  </si>
  <si>
    <t>Retail Peak Demand Savings YTD (MW)</t>
  </si>
  <si>
    <t>Current Quarter Lifetime Retail Energy Savings (MWh)</t>
  </si>
  <si>
    <t>Reported Lifetime Retail Energy Savings YTD (MWh)</t>
  </si>
  <si>
    <t>Current Quarter Retail Peak Demand Savings (MW)</t>
  </si>
  <si>
    <t>Current Quarter  Lifetime Wholesale Energy Savings (MWh)</t>
  </si>
  <si>
    <t>Current Quarter Wholesale Peak Demand Savings (MW)</t>
  </si>
  <si>
    <t>Count</t>
  </si>
  <si>
    <t>Sector</t>
  </si>
  <si>
    <t>Sub-Programs</t>
  </si>
  <si>
    <t>Weighted Electric Losses - Energy</t>
  </si>
  <si>
    <t>Weighted Electric Losses - Demand</t>
  </si>
  <si>
    <t>Weighted Natural Gas Losses</t>
  </si>
  <si>
    <r>
      <t>Sub Program or Category</t>
    </r>
    <r>
      <rPr>
        <b/>
        <vertAlign val="superscript"/>
        <sz val="11"/>
        <color theme="1"/>
        <rFont val="Calibri"/>
        <family val="2"/>
        <scheme val="minor"/>
      </rPr>
      <t>1</t>
    </r>
  </si>
  <si>
    <t>Res</t>
  </si>
  <si>
    <t>Home Energy Reports</t>
  </si>
  <si>
    <t>Efficient Products*</t>
  </si>
  <si>
    <t>HVAC</t>
  </si>
  <si>
    <t>N/A</t>
  </si>
  <si>
    <t>Appliance Rebates</t>
  </si>
  <si>
    <t>Existing Homes QHEC</t>
  </si>
  <si>
    <t>Appliance Recycling</t>
  </si>
  <si>
    <t>Existing Homes HPwES</t>
  </si>
  <si>
    <t>Online Marketplace</t>
  </si>
  <si>
    <t>LMI</t>
  </si>
  <si>
    <t>Food Banks</t>
  </si>
  <si>
    <t>MF</t>
  </si>
  <si>
    <t>Multi-Family</t>
  </si>
  <si>
    <t>Others - Lighting</t>
  </si>
  <si>
    <t>C&amp;I</t>
  </si>
  <si>
    <t>Energy Solutions for Business: Prescriptive and Custom</t>
  </si>
  <si>
    <t>Subtotal Efficient Products</t>
  </si>
  <si>
    <t xml:space="preserve">Energy Solutions for Business: Engineered Solutions </t>
  </si>
  <si>
    <t>Home Performance with Energy Star*</t>
  </si>
  <si>
    <t xml:space="preserve">Direct Install </t>
  </si>
  <si>
    <r>
      <t>Quick Home Energy Check-Up</t>
    </r>
    <r>
      <rPr>
        <vertAlign val="superscript"/>
        <sz val="11"/>
        <rFont val="Calibri"/>
        <family val="2"/>
        <scheme val="minor"/>
      </rPr>
      <t>3</t>
    </r>
  </si>
  <si>
    <t xml:space="preserve">                           -  </t>
  </si>
  <si>
    <t xml:space="preserve">Energy Solutions for Business: Energy Management </t>
  </si>
  <si>
    <t>Portfolio</t>
  </si>
  <si>
    <t>Portfolio Costs</t>
  </si>
  <si>
    <r>
      <t>Behavioral</t>
    </r>
    <r>
      <rPr>
        <vertAlign val="superscript"/>
        <sz val="11"/>
        <rFont val="Calibri"/>
        <family val="2"/>
        <scheme val="minor"/>
      </rPr>
      <t>3</t>
    </r>
  </si>
  <si>
    <t>Sub-Program</t>
  </si>
  <si>
    <t>Direct Install*</t>
  </si>
  <si>
    <r>
      <t>Prescriptive/Custom*</t>
    </r>
    <r>
      <rPr>
        <vertAlign val="superscript"/>
        <sz val="11"/>
        <color theme="1"/>
        <rFont val="Calibri"/>
        <family val="2"/>
        <scheme val="minor"/>
      </rPr>
      <t>4</t>
    </r>
  </si>
  <si>
    <t>Multi-Family*</t>
  </si>
  <si>
    <t>HPwES</t>
  </si>
  <si>
    <t>Prescriptive/Custom*</t>
  </si>
  <si>
    <t>Subtotal Multi-Family</t>
  </si>
  <si>
    <t>Comfort Partners</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</si>
  <si>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</si>
  <si>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</si>
  <si>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1"/>
        <rFont val="Calibri"/>
        <family val="2"/>
        <scheme val="minor"/>
      </rPr>
      <t>3</t>
    </r>
    <r>
      <rPr>
        <sz val="11"/>
        <rFont val="Calibri"/>
        <family val="2"/>
        <scheme val="minor"/>
      </rPr>
      <t xml:space="preserve"> Quick Home Energy Check-Up and Behavioral Program costs in PY23 aresupported by merger funding. Savings and costs from these programs are supported by CEA, as permitted by the June 10th Board Order.  </t>
    </r>
  </si>
  <si>
    <r>
      <rPr>
        <vertAlign val="superscript"/>
        <sz val="11"/>
        <rFont val="Calibri"/>
        <family val="2"/>
        <scheme val="minor"/>
      </rPr>
      <t>4</t>
    </r>
    <r>
      <rPr>
        <sz val="11"/>
        <rFont val="Calibri"/>
        <family val="2"/>
        <scheme val="minor"/>
      </rPr>
      <t xml:space="preserve"> The participant definition for the Prescriptive/Custom component of the Energy Solutions for Business program as agreed upon by the joint utilities represents the count of projects while the forecast established in ACE's filed plan represents the count of measures. </t>
    </r>
  </si>
  <si>
    <t>* Denotes a core EE program. Home Performance with Energy Star only includes non-LMI; the comparable program for LMI participants is Comfort Partners, which is jointly administered by the State and Utilities.</t>
  </si>
  <si>
    <t>Annual Forecasted Participants</t>
  </si>
  <si>
    <t>Percent of Annual Forecast</t>
  </si>
  <si>
    <t>Residential</t>
  </si>
  <si>
    <t>Reported Totals for Utility Administered Programs</t>
  </si>
  <si>
    <t>Utility Total</t>
  </si>
  <si>
    <t>Annual Budget Expenditures ($000)</t>
  </si>
  <si>
    <t>Percent of Annual Budget</t>
  </si>
  <si>
    <t>Percent of Annual Target</t>
  </si>
  <si>
    <t>Quarter Reported ($000)</t>
  </si>
  <si>
    <t>Full Year Budget ($000)</t>
  </si>
  <si>
    <t>Capital Costs</t>
  </si>
  <si>
    <t>Utility Administration</t>
  </si>
  <si>
    <t>Marketing</t>
  </si>
  <si>
    <t>Outside Services</t>
  </si>
  <si>
    <t>Rebates</t>
  </si>
  <si>
    <t>No- or Low-Interest Loans</t>
  </si>
  <si>
    <t>Inspections &amp; Quality Control</t>
  </si>
  <si>
    <t>Table 8 -  Benefit-Cost Test Results</t>
  </si>
  <si>
    <t>Initial</t>
  </si>
  <si>
    <t>Final</t>
  </si>
  <si>
    <t>NJCT</t>
  </si>
  <si>
    <t>PCT</t>
  </si>
  <si>
    <t>PACT</t>
  </si>
  <si>
    <t>RIMT</t>
  </si>
  <si>
    <t>TRCT</t>
  </si>
  <si>
    <t>SCT</t>
  </si>
  <si>
    <t>TBD</t>
  </si>
  <si>
    <t>Quick Home Energy Check-Up</t>
  </si>
  <si>
    <t>Incentive Expenditures (Customer Rebates and Low/no-cost financing)</t>
  </si>
  <si>
    <t>Reported Incentive Costs YTD ($000)</t>
  </si>
  <si>
    <t>Reported Retail Energy Savings YTD (MWh)</t>
  </si>
  <si>
    <t>Non-LMI or Unverified</t>
  </si>
  <si>
    <t>Others</t>
  </si>
  <si>
    <r>
      <t>Home Performance with Energy Star</t>
    </r>
    <r>
      <rPr>
        <vertAlign val="superscript"/>
        <sz val="10"/>
        <rFont val="Times New Roman"/>
        <family val="1"/>
      </rPr>
      <t>1</t>
    </r>
    <r>
      <rPr>
        <sz val="10"/>
        <color theme="1"/>
        <rFont val="Times New Roman"/>
        <family val="1"/>
      </rPr>
      <t xml:space="preserve"> </t>
    </r>
  </si>
  <si>
    <t xml:space="preserve"> N/A </t>
  </si>
  <si>
    <t>Direct Installation/MF QHEC</t>
  </si>
  <si>
    <t>Total Multi-Family</t>
  </si>
  <si>
    <t>NONE</t>
  </si>
  <si>
    <r>
      <rPr>
        <vertAlign val="superscript"/>
        <sz val="11"/>
        <rFont val="Times New Roman"/>
        <family val="1"/>
      </rPr>
      <t>1</t>
    </r>
    <r>
      <rPr>
        <sz val="11"/>
        <rFont val="Times New Roman"/>
        <family val="1"/>
      </rPr>
      <t>Income-qualified customers are directed to participate through the Comfort Partners or Moderate Income Weatherization programs.</t>
    </r>
  </si>
  <si>
    <t>H</t>
  </si>
  <si>
    <t>Reported Lifetime Retail Energy Savings Current Quarter (MWh)</t>
  </si>
  <si>
    <t>Reported Lifetime Wholesale Energy Savings Current Quarter (MWh)</t>
  </si>
  <si>
    <t>Small Commercial</t>
  </si>
  <si>
    <t>Large Commercial</t>
  </si>
  <si>
    <t>Table 1</t>
  </si>
  <si>
    <t>Reported Retail Sales Savings</t>
  </si>
  <si>
    <t>Sales Baseline (MWh or DTh)2</t>
  </si>
  <si>
    <t>Percent of Sales</t>
  </si>
  <si>
    <t>Annual Target (MWh or DTh)</t>
  </si>
  <si>
    <t>Percent of Annual Target Achieved</t>
  </si>
  <si>
    <t>Utility Operated Programs</t>
  </si>
  <si>
    <t>Other Programs1</t>
  </si>
  <si>
    <t>Total</t>
  </si>
  <si>
    <t>8.18 - suggestion from Ann-Marie for Table 1</t>
  </si>
  <si>
    <t>Table 2</t>
  </si>
  <si>
    <t>Table 1 structure</t>
  </si>
  <si>
    <r>
      <t>Sector</t>
    </r>
    <r>
      <rPr>
        <vertAlign val="superscript"/>
        <sz val="9"/>
        <color indexed="9"/>
        <rFont val="Calibri"/>
        <family val="2"/>
        <scheme val="minor"/>
      </rPr>
      <t>1</t>
    </r>
  </si>
  <si>
    <t>Quarter Participants</t>
  </si>
  <si>
    <t>YTD Participants</t>
  </si>
  <si>
    <t>a</t>
  </si>
  <si>
    <t>Comfort Partners savings</t>
  </si>
  <si>
    <t>b</t>
  </si>
  <si>
    <t>c</t>
  </si>
  <si>
    <t>Total Savings</t>
  </si>
  <si>
    <t>a+b+c=d</t>
  </si>
  <si>
    <t>Sales Baseline</t>
  </si>
  <si>
    <t>e</t>
  </si>
  <si>
    <t>Ferc</t>
  </si>
  <si>
    <t>Percent of Sales Achieved</t>
  </si>
  <si>
    <t>d/e=f</t>
  </si>
  <si>
    <t>Annual Target</t>
  </si>
  <si>
    <t>g</t>
  </si>
  <si>
    <t>from Board Order)</t>
  </si>
  <si>
    <t>Table 3</t>
  </si>
  <si>
    <t>Footnottes:</t>
  </si>
  <si>
    <r>
      <t>Expenditures</t>
    </r>
    <r>
      <rPr>
        <vertAlign val="superscript"/>
        <sz val="9"/>
        <color indexed="9"/>
        <rFont val="Calibri"/>
        <family val="2"/>
        <scheme val="minor"/>
      </rPr>
      <t>1</t>
    </r>
  </si>
  <si>
    <t>Quarter Expenditures ($000)</t>
  </si>
  <si>
    <t>YTD Expenditures ($000)</t>
  </si>
  <si>
    <t>1 = Include merger-commitment programs (QHEC and Behavior)</t>
  </si>
  <si>
    <t>2= Ferc Form</t>
  </si>
  <si>
    <t>Table 4 - Using TRM 2020</t>
  </si>
  <si>
    <r>
      <t>Annual Energy Savings</t>
    </r>
    <r>
      <rPr>
        <vertAlign val="superscript"/>
        <sz val="9"/>
        <color indexed="9"/>
        <rFont val="Calibri"/>
        <family val="2"/>
        <scheme val="minor"/>
      </rPr>
      <t>1</t>
    </r>
  </si>
  <si>
    <t>Quarter Retail (MWh)</t>
  </si>
  <si>
    <t>YTD Retail (MWh)</t>
  </si>
  <si>
    <t>Annual Target Retail Savings (MWh)</t>
  </si>
  <si>
    <t>Table 4 - Using TRM 2022</t>
  </si>
  <si>
    <t>Table 5</t>
  </si>
  <si>
    <t>Total Utility EE/PDR</t>
  </si>
  <si>
    <t>YTD Reported ($000)</t>
  </si>
  <si>
    <t>Percent of Annual Budget Spent</t>
  </si>
  <si>
    <t>Evaluation, Measurement &amp; Verification ("EM&amp;V")</t>
  </si>
  <si>
    <t>Table 7</t>
  </si>
  <si>
    <t>Program 1</t>
  </si>
  <si>
    <t>Program 2</t>
  </si>
  <si>
    <t>Program 3</t>
  </si>
  <si>
    <t>Program 4</t>
  </si>
  <si>
    <t>Table F – Energy Savings with FY2022 TRM Addendum</t>
  </si>
  <si>
    <t>Phil's original language:</t>
  </si>
  <si>
    <t>The June 2020 Board Order states that EE programs are evaluated with the Board approved 2020 Protocols to Measure Resource Savings (“2020 TRM ”) or 2021 TRM Addendum throughout the first triennium.  The EM&amp;V Working Group agreed that the 2020 TRM and 2021 TRM Addendum have dated assumptions and models that lead to overestimation of savings.  The EM&amp;V Working Group created a 2022 TRM Addendum to address these issues.  The utilities’ performance is officially assessed based on values using the 2020 TRM, while the values using the 2022 TRM Addendum are provided for information and planning purposes.  The annual energy savings using the 2020 TRM vs the 2022 TRM Addendum are shown in Figure A-1, and the lifetime energy savings using the 2020 TRM vs the 2022 TRM Addendum are shown in Figure A-2.  Table A-1 shows the sector-level values for the 2022 TRM Addendum, which may be compared to the values shown in Table 5 – Sector-Level Energy Savings, which shows the sector-level values for the 2020 TRM.</t>
  </si>
  <si>
    <t>Table F-1 – Sector-Level Energy Savings:  Primary Metrics</t>
  </si>
  <si>
    <r>
      <t>Annual Energy Savings</t>
    </r>
    <r>
      <rPr>
        <b/>
        <vertAlign val="superscript"/>
        <sz val="12"/>
        <color indexed="9"/>
        <rFont val="Times New Roman"/>
        <family val="1"/>
      </rPr>
      <t>1,</t>
    </r>
    <r>
      <rPr>
        <b/>
        <vertAlign val="superscript"/>
        <sz val="12"/>
        <color rgb="FFFFFFFF"/>
        <rFont val="Times New Roman"/>
        <family val="1"/>
      </rPr>
      <t xml:space="preserve"> 2</t>
    </r>
  </si>
  <si>
    <t>Primary Metrics</t>
  </si>
  <si>
    <t>Secondary Metrics</t>
  </si>
  <si>
    <t>Annual Savings</t>
  </si>
  <si>
    <t>Figure A-1 - Program Year [2022] Portfolio-Level Annual Energy Savings – Primary vs. Seondary Metrics</t>
  </si>
  <si>
    <t>Table F-2 – Sector-Level Energy Savings: Secondary Metrics</t>
  </si>
  <si>
    <r>
      <t>Annual Energy Savings</t>
    </r>
    <r>
      <rPr>
        <vertAlign val="superscript"/>
        <sz val="12"/>
        <color indexed="9"/>
        <rFont val="Times New Roman"/>
        <family val="1"/>
      </rPr>
      <t>1,</t>
    </r>
    <r>
      <rPr>
        <vertAlign val="superscript"/>
        <sz val="12"/>
        <color rgb="FFFFFFFF"/>
        <rFont val="Times New Roman"/>
        <family val="1"/>
      </rPr>
      <t xml:space="preserve"> 2</t>
    </r>
  </si>
  <si>
    <r>
      <t>1</t>
    </r>
    <r>
      <rPr>
        <sz val="9"/>
        <color theme="1"/>
        <rFont val="Times New Roman"/>
        <family val="1"/>
      </rPr>
      <t xml:space="preserve"> Annual energy savings represent the total expected annual savings from all energy efficiency measures within each sector, and not only those measures affected by the FY2022 TRM Addendum.</t>
    </r>
    <r>
      <rPr>
        <vertAlign val="superscript"/>
        <sz val="9"/>
        <color theme="1"/>
        <rFont val="Times New Roman"/>
        <family val="1"/>
      </rPr>
      <t xml:space="preserve">
2</t>
    </r>
    <r>
      <rPr>
        <sz val="9"/>
        <color theme="1"/>
        <rFont val="Times New Roman"/>
        <family val="1"/>
      </rPr>
      <t xml:space="preserve"> Residential sector includes savings from ACE merger committment programs.</t>
    </r>
  </si>
  <si>
    <t>Figure A-2 - Program Year [2022] Portfolio-Level Lifetime Energy Savings – Primary vs Secondary Metrics</t>
  </si>
  <si>
    <r>
      <t>Appendix</t>
    </r>
    <r>
      <rPr>
        <b/>
        <sz val="14"/>
        <rFont val="Arial"/>
        <family val="2"/>
      </rPr>
      <t xml:space="preserve"> 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</si>
  <si>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</si>
  <si>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ACE</t>
  </si>
  <si>
    <t>Program</t>
  </si>
  <si>
    <t>Kwh held for transfer</t>
  </si>
  <si>
    <t>Therms (DTHw) held for transfer</t>
  </si>
  <si>
    <r>
      <t>Res Efficient Products</t>
    </r>
    <r>
      <rPr>
        <vertAlign val="superscript"/>
        <sz val="11"/>
        <color theme="1"/>
        <rFont val="Times New Roman"/>
        <family val="1"/>
      </rPr>
      <t>1</t>
    </r>
  </si>
  <si>
    <t>Home Performance w/Energy Star</t>
  </si>
  <si>
    <r>
      <t xml:space="preserve">C&amp;I </t>
    </r>
    <r>
      <rPr>
        <sz val="11"/>
        <color rgb="FF000000"/>
        <rFont val="Times New Roman"/>
        <family val="1"/>
      </rPr>
      <t>Prescriptive/Custom</t>
    </r>
  </si>
  <si>
    <t>C&amp;I Small Business Direct Install</t>
  </si>
  <si>
    <r>
      <t xml:space="preserve">C&amp;I </t>
    </r>
    <r>
      <rPr>
        <sz val="11"/>
        <color rgb="FF000000"/>
        <rFont val="Times New Roman"/>
        <family val="1"/>
      </rPr>
      <t>Energy Management</t>
    </r>
  </si>
  <si>
    <r>
      <t xml:space="preserve">C&amp;I </t>
    </r>
    <r>
      <rPr>
        <sz val="11"/>
        <color rgb="FF000000"/>
        <rFont val="Times New Roman"/>
        <family val="1"/>
      </rPr>
      <t>Engineered Solutions</t>
    </r>
  </si>
  <si>
    <r>
      <t>TOTAL</t>
    </r>
    <r>
      <rPr>
        <b/>
        <vertAlign val="superscript"/>
        <sz val="11"/>
        <color theme="1"/>
        <rFont val="Times New Roman"/>
        <family val="1"/>
      </rPr>
      <t>2</t>
    </r>
  </si>
  <si>
    <r>
      <t>1</t>
    </r>
    <r>
      <rPr>
        <sz val="9"/>
        <color theme="1"/>
        <rFont val="Times New Roman"/>
        <family val="1"/>
      </rPr>
      <t xml:space="preserve">This number excludes the fuel penalty for lighting.                                                                                                                                                                                                            </t>
    </r>
    <r>
      <rPr>
        <vertAlign val="superscript"/>
        <sz val="9"/>
        <color theme="1"/>
        <rFont val="Times New Roman"/>
        <family val="1"/>
      </rPr>
      <t>2</t>
    </r>
    <r>
      <rPr>
        <sz val="9"/>
        <color theme="1"/>
        <rFont val="Times New Roman"/>
        <family val="1"/>
      </rPr>
      <t>With the fuel penalty considered the total number is -27,279.</t>
    </r>
  </si>
  <si>
    <t>Appendix H - Cost Effectiveness Test Details</t>
  </si>
  <si>
    <t>Business</t>
  </si>
  <si>
    <t xml:space="preserve">Other </t>
  </si>
  <si>
    <t>Total Portfolio</t>
  </si>
  <si>
    <t>Total Resource Cost Test (TRC)</t>
  </si>
  <si>
    <r>
      <t>Quarter Retail Savings</t>
    </r>
    <r>
      <rPr>
        <vertAlign val="superscript"/>
        <sz val="9"/>
        <color indexed="9"/>
        <rFont val="Calibri"/>
        <family val="2"/>
        <scheme val="minor"/>
      </rPr>
      <t>1</t>
    </r>
  </si>
  <si>
    <r>
      <t>YTD Retail Savings</t>
    </r>
    <r>
      <rPr>
        <vertAlign val="superscript"/>
        <sz val="9"/>
        <color indexed="9"/>
        <rFont val="Calibri"/>
        <family val="2"/>
        <scheme val="minor"/>
      </rPr>
      <t>2</t>
    </r>
  </si>
  <si>
    <r>
      <t>Quarter Whole Savings</t>
    </r>
    <r>
      <rPr>
        <vertAlign val="superscript"/>
        <sz val="9"/>
        <color indexed="9"/>
        <rFont val="Calibri"/>
        <family val="2"/>
        <scheme val="minor"/>
      </rPr>
      <t>3</t>
    </r>
  </si>
  <si>
    <r>
      <t>Energy Efficiency Baseline</t>
    </r>
    <r>
      <rPr>
        <vertAlign val="superscript"/>
        <sz val="9"/>
        <color indexed="9"/>
        <rFont val="Calibri"/>
        <family val="2"/>
        <scheme val="minor"/>
      </rPr>
      <t>4</t>
    </r>
  </si>
  <si>
    <t>Lost Revenue from Energy Savings (kWh)</t>
  </si>
  <si>
    <t>Lost Revenue fromPeak Demand Savings (kW)</t>
  </si>
  <si>
    <t>Lost Revenue from Gas Savings (Therms)</t>
  </si>
  <si>
    <t>Avoided Costs from Energy Savings (kWh)</t>
  </si>
  <si>
    <t>Avoided Costs from Demand Savings (kW)</t>
  </si>
  <si>
    <t>Avoided Costs from Gas Savings (Therms)</t>
  </si>
  <si>
    <t>Environmental Adder</t>
  </si>
  <si>
    <t>DRIPE</t>
  </si>
  <si>
    <t>Total Benefit = 1+2+3+4+5+6+7+8</t>
  </si>
  <si>
    <t>Administrative Costs</t>
  </si>
  <si>
    <t>Participant Incremental Costs</t>
  </si>
  <si>
    <t>Incentives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</si>
  <si>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</si>
  <si>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</si>
  <si>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</si>
  <si>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</si>
  <si>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</si>
  <si>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</si>
  <si>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</si>
  <si>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</si>
  <si>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</si>
  <si>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</si>
  <si>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</si>
  <si>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</si>
  <si>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New Jersey Cost Test (NJCT)</t>
  </si>
  <si>
    <t>NEB Adder</t>
  </si>
  <si>
    <t>Lifetime Avoided Ancillary Services Costs</t>
  </si>
  <si>
    <t>Total Benefit = 16+17+18+19+20+21+22+23+24+25</t>
  </si>
  <si>
    <t>Total Costs = 26+27+28</t>
  </si>
  <si>
    <t>Benefit Cost Ratio = (16+17+18+19+20+21+22+23+24+25)/(26+27+28)</t>
  </si>
  <si>
    <t>CG Notes for Preparation of FY23 Q1 Report</t>
  </si>
  <si>
    <t>ACTION ITEMS/COMMENTS/RESOLUTIONS</t>
  </si>
  <si>
    <t>This file was derived from the Final Annual report submittal:   NJ EE Quarterly Report Table  PYXX QX-Final-V1</t>
  </si>
  <si>
    <t>1. ACE activitely insured that YTD graph was updated. Resolved.</t>
  </si>
  <si>
    <r>
      <t>From:</t>
    </r>
    <r>
      <rPr>
        <sz val="12"/>
        <color theme="1"/>
        <rFont val="Arial"/>
        <family val="2"/>
      </rPr>
      <t xml:space="preserve"> Chao, Philip [BPU] &lt;Philip.Chao@bpu.nj.gov&gt;</t>
    </r>
  </si>
  <si>
    <r>
      <t>Sent:</t>
    </r>
    <r>
      <rPr>
        <sz val="12"/>
        <color theme="1"/>
        <rFont val="Arial"/>
        <family val="2"/>
      </rPr>
      <t xml:space="preserve"> Wednesday, November 9, 2022 12:47 PM</t>
    </r>
  </si>
  <si>
    <t>YTD Performance Graph</t>
  </si>
  <si>
    <t>On the graph that shows % savings to goals and % expenditures to budget, the cell that references expenditure is pointing to the wrong cell.</t>
  </si>
  <si>
    <r>
      <t xml:space="preserve">The cell is getting expenditures that include both CEA program expenditures plus Comfort Partners (E31 for most templates), but it should point to the cell that only includes </t>
    </r>
    <r>
      <rPr>
        <b/>
        <sz val="14"/>
        <color rgb="FF1F497D"/>
        <rFont val="Arial"/>
        <family val="2"/>
      </rPr>
      <t>CEA program expenditures</t>
    </r>
    <r>
      <rPr>
        <sz val="12"/>
        <color rgb="FF1F497D"/>
        <rFont val="Arial"/>
        <family val="2"/>
      </rPr>
      <t xml:space="preserve"> (E29).  Could you please make this correction in your workbooks before you submit the Q1 PY2 quarterly report.</t>
    </r>
  </si>
  <si>
    <t xml:space="preserve">Proposed changes to Tables 1 and 2 for the PY2 Quarter 1 report.  </t>
  </si>
  <si>
    <r>
      <rPr>
        <b/>
        <sz val="14"/>
        <color rgb="FF1F497D"/>
        <rFont val="Arial"/>
        <family val="2"/>
      </rPr>
      <t xml:space="preserve">Table 1 </t>
    </r>
    <r>
      <rPr>
        <sz val="12"/>
        <color rgb="FF1F497D"/>
        <rFont val="Arial"/>
        <family val="2"/>
      </rPr>
      <t xml:space="preserve">currently shows YTD savings and target achievement.  </t>
    </r>
    <r>
      <rPr>
        <b/>
        <sz val="14"/>
        <color rgb="FF1F497D"/>
        <rFont val="Arial"/>
        <family val="2"/>
      </rPr>
      <t>The change is to insert a row that shows quarterly savings.</t>
    </r>
  </si>
  <si>
    <r>
      <rPr>
        <b/>
        <sz val="14"/>
        <color rgb="FF1F497D"/>
        <rFont val="Arial"/>
        <family val="2"/>
      </rPr>
      <t>Table 2</t>
    </r>
    <r>
      <rPr>
        <sz val="12"/>
        <color rgb="FF1F497D"/>
        <rFont val="Arial"/>
        <family val="2"/>
      </rPr>
      <t xml:space="preserve"> currently shows the QPIs on a YTD basis.  </t>
    </r>
    <r>
      <rPr>
        <b/>
        <sz val="14"/>
        <color rgb="FF1F497D"/>
        <rFont val="Arial"/>
        <family val="2"/>
      </rPr>
      <t>The proposal is to include quarterly values.</t>
    </r>
  </si>
  <si>
    <t>In addition, please remember that the latest report template, which was modified for the Annual Report includes extra tables and metrics.  These need to be removed for the Quarterly Reports:</t>
  </si>
  <si>
    <r>
      <t xml:space="preserve">1)      </t>
    </r>
    <r>
      <rPr>
        <b/>
        <sz val="12"/>
        <color rgb="FF1F497D"/>
        <rFont val="Arial"/>
        <family val="2"/>
      </rPr>
      <t>Remove the row for NPV</t>
    </r>
    <r>
      <rPr>
        <sz val="12"/>
        <color rgb="FF1F497D"/>
        <rFont val="Arial"/>
        <family val="2"/>
      </rPr>
      <t xml:space="preserve"> of Utility Cost Test from the QPI Table </t>
    </r>
  </si>
  <si>
    <r>
      <t xml:space="preserve">2)      </t>
    </r>
    <r>
      <rPr>
        <b/>
        <sz val="12"/>
        <color rgb="FF1F497D"/>
        <rFont val="Arial"/>
        <family val="2"/>
      </rPr>
      <t>Drop Table 8</t>
    </r>
    <r>
      <rPr>
        <sz val="12"/>
        <color rgb="FF1F497D"/>
        <rFont val="Arial"/>
        <family val="2"/>
      </rPr>
      <t xml:space="preserve"> on benefit-cost test.</t>
    </r>
  </si>
  <si>
    <r>
      <t xml:space="preserve">3)      </t>
    </r>
    <r>
      <rPr>
        <b/>
        <sz val="12"/>
        <color rgb="FF1F497D"/>
        <rFont val="Arial"/>
        <family val="2"/>
      </rPr>
      <t xml:space="preserve">Drop Appendices F, G, H, and I </t>
    </r>
    <r>
      <rPr>
        <sz val="12"/>
        <color rgb="FF1F497D"/>
        <rFont val="Arial"/>
        <family val="2"/>
      </rPr>
      <t xml:space="preserve"> (these tabs are light blue, as opposed to dark blue for all the other tables and appendices).</t>
    </r>
  </si>
  <si>
    <t>ACE Intenal Note:</t>
  </si>
  <si>
    <t>1) Supportive Cost Outside Portfolio = SWC and Workforce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</si>
</sst>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 numFmtId="168" formatCode="0.0%"/>
    <numFmt numFmtId="169" formatCode="_(* #,##0.000000_);_(* \(#,##0.000000\);_(* &quot;-&quot;??_);_(@_)"/>
    <numFmt numFmtId="170" formatCode="_(* #,##0.000_);_(* \(#,##0.000\);_(* &quot;-&quot;??_);_(@_)"/>
    <numFmt numFmtId="171" formatCode="0.000%"/>
    <numFmt numFmtId="172" formatCode="0.000"/>
    <numFmt numFmtId="173" formatCode="0.0"/>
    <numFmt numFmtId="174" formatCode="#,##0.000_);\(#,##0.000\)"/>
    <numFmt numFmtId="175" formatCode="_(* #,##0.000_);_(* \(#,##0.000\);_(* &quot;-&quot;???_);_(@_)"/>
  </numFmts>
  <fonts count="74" x14ac:knownFonts="1">
    <font>
      <sz val="11"/>
      <color theme="1"/>
      <name val="Calibri"/>
      <family val="2"/>
      <scheme val="minor"/>
    </font>
    <font>
      <sz val="10"/>
      <name val="Arial"/>
      <family val="2"/>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sz val="11"/>
      <color rgb="FF000000"/>
      <name val="Calibri"/>
      <family val="2"/>
    </font>
    <font>
      <vertAlign val="superscript"/>
      <sz val="11"/>
      <color theme="1"/>
      <name val="Calibri"/>
      <family val="2"/>
      <scheme val="minor"/>
    </font>
    <font>
      <sz val="11"/>
      <color rgb="FF006100"/>
      <name val="Calibri"/>
      <family val="2"/>
      <scheme val="minor"/>
    </font>
    <font>
      <sz val="11"/>
      <color rgb="FF000000"/>
      <name val="Calibri"/>
      <family val="2"/>
      <scheme val="minor"/>
    </font>
    <font>
      <sz val="10"/>
      <color theme="1"/>
      <name val="Times New Roman"/>
      <family val="1"/>
    </font>
    <font>
      <b/>
      <sz val="12"/>
      <color theme="1"/>
      <name val="Times New Roman"/>
      <family val="1"/>
    </font>
    <font>
      <sz val="11"/>
      <color rgb="FF9C0006"/>
      <name val="Calibri"/>
      <family val="2"/>
      <scheme val="minor"/>
    </font>
    <font>
      <sz val="11"/>
      <color theme="1"/>
      <name val="Times New Roman"/>
      <family val="1"/>
    </font>
    <font>
      <sz val="11"/>
      <color rgb="FF000000"/>
      <name val="Times New Roman"/>
      <family val="1"/>
    </font>
    <font>
      <vertAlign val="superscript"/>
      <sz val="9"/>
      <color indexed="9"/>
      <name val="Calibri"/>
      <family val="2"/>
      <scheme val="minor"/>
    </font>
    <font>
      <sz val="9"/>
      <color theme="0"/>
      <name val="Calibri"/>
      <family val="2"/>
      <scheme val="minor"/>
    </font>
    <font>
      <sz val="11"/>
      <color rgb="FF996633"/>
      <name val="Calibri"/>
      <family val="2"/>
    </font>
    <font>
      <sz val="11"/>
      <color theme="0"/>
      <name val="Calibri"/>
      <family val="2"/>
      <scheme val="minor"/>
    </font>
    <font>
      <sz val="11"/>
      <name val="Arial Black"/>
      <family val="2"/>
    </font>
    <font>
      <b/>
      <sz val="12"/>
      <color indexed="9"/>
      <name val="Times New Roman"/>
      <family val="1"/>
    </font>
    <font>
      <sz val="12"/>
      <color theme="1"/>
      <name val="Times New Roman"/>
      <family val="1"/>
    </font>
    <font>
      <sz val="12"/>
      <color rgb="FF000000"/>
      <name val="Times New Roman"/>
      <family val="1"/>
    </font>
    <font>
      <sz val="11"/>
      <color theme="1"/>
      <name val="Arial"/>
      <family val="2"/>
    </font>
    <font>
      <b/>
      <sz val="14"/>
      <color theme="1"/>
      <name val="Arial"/>
      <family val="2"/>
    </font>
    <font>
      <sz val="11"/>
      <color rgb="FFFFFF00"/>
      <name val="Arial"/>
      <family val="2"/>
    </font>
    <font>
      <b/>
      <sz val="11"/>
      <color rgb="FF000000"/>
      <name val="Calibri"/>
      <family val="2"/>
    </font>
    <font>
      <sz val="11"/>
      <color rgb="FF444444"/>
      <name val="Calibri"/>
      <family val="2"/>
    </font>
    <font>
      <b/>
      <sz val="11"/>
      <color rgb="FF000000"/>
      <name val="Calibri"/>
      <family val="2"/>
      <scheme val="minor"/>
    </font>
    <font>
      <b/>
      <sz val="11"/>
      <color theme="1"/>
      <name val="Times New Roman"/>
      <family val="1"/>
    </font>
    <font>
      <vertAlign val="superscript"/>
      <sz val="11"/>
      <color theme="1"/>
      <name val="Times New Roman"/>
      <family val="1"/>
    </font>
    <font>
      <sz val="10"/>
      <color indexed="9"/>
      <name val="Times New Roman"/>
      <family val="1"/>
    </font>
    <font>
      <vertAlign val="superscript"/>
      <sz val="10"/>
      <name val="Times New Roman"/>
      <family val="1"/>
    </font>
    <font>
      <b/>
      <sz val="11"/>
      <color indexed="9"/>
      <name val="Times New Roman"/>
      <family val="1"/>
    </font>
    <font>
      <sz val="11"/>
      <color indexed="9"/>
      <name val="Times New Roman"/>
      <family val="1"/>
    </font>
    <font>
      <b/>
      <sz val="11"/>
      <name val="Times New Roman"/>
      <family val="1"/>
    </font>
    <font>
      <sz val="11"/>
      <name val="Times New Roman"/>
      <family val="1"/>
    </font>
    <font>
      <b/>
      <sz val="11"/>
      <color theme="0"/>
      <name val="Times New Roman"/>
      <family val="1"/>
    </font>
    <font>
      <sz val="11"/>
      <color rgb="FF7030A0"/>
      <name val="Calibri"/>
      <family val="2"/>
      <scheme val="minor"/>
    </font>
    <font>
      <sz val="11"/>
      <color theme="1"/>
      <name val="Calibri"/>
      <family val="2"/>
    </font>
    <font>
      <b/>
      <vertAlign val="superscript"/>
      <sz val="11"/>
      <color theme="1"/>
      <name val="Times New Roman"/>
      <family val="1"/>
    </font>
    <font>
      <vertAlign val="superscript"/>
      <sz val="9"/>
      <color theme="1"/>
      <name val="Times New Roman"/>
      <family val="1"/>
    </font>
    <font>
      <sz val="9"/>
      <color theme="1"/>
      <name val="Times New Roman"/>
      <family val="1"/>
    </font>
    <font>
      <sz val="9"/>
      <color rgb="FFFF0000"/>
      <name val="Times New Roman"/>
      <family val="1"/>
    </font>
    <font>
      <sz val="11"/>
      <name val="Arial"/>
      <family val="2"/>
    </font>
    <font>
      <b/>
      <sz val="14"/>
      <name val="Arial"/>
      <family val="2"/>
    </font>
    <font>
      <b/>
      <vertAlign val="superscript"/>
      <sz val="12"/>
      <color indexed="9"/>
      <name val="Times New Roman"/>
      <family val="1"/>
    </font>
    <font>
      <b/>
      <vertAlign val="superscript"/>
      <sz val="12"/>
      <color rgb="FFFFFFFF"/>
      <name val="Times New Roman"/>
      <family val="1"/>
    </font>
    <font>
      <vertAlign val="superscript"/>
      <sz val="12"/>
      <color indexed="9"/>
      <name val="Times New Roman"/>
      <family val="1"/>
    </font>
    <font>
      <vertAlign val="superscript"/>
      <sz val="12"/>
      <color rgb="FFFFFFFF"/>
      <name val="Times New Roman"/>
      <family val="1"/>
    </font>
    <font>
      <sz val="12"/>
      <color indexed="9"/>
      <name val="Times New Roman"/>
      <family val="1"/>
    </font>
    <font>
      <sz val="9"/>
      <color theme="1"/>
      <name val="Arial"/>
      <family val="2"/>
    </font>
    <font>
      <b/>
      <sz val="12"/>
      <color theme="1"/>
      <name val="Calibri"/>
      <family val="2"/>
      <scheme val="minor"/>
    </font>
    <font>
      <sz val="11"/>
      <name val="Calibri"/>
      <family val="2"/>
    </font>
    <font>
      <u/>
      <sz val="11"/>
      <color theme="10"/>
      <name val="Calibri"/>
      <family val="2"/>
      <scheme val="minor"/>
    </font>
    <font>
      <vertAlign val="superscript"/>
      <sz val="11"/>
      <name val="Times New Roman"/>
      <family val="1"/>
    </font>
    <font>
      <b/>
      <sz val="18"/>
      <color theme="1"/>
      <name val="Times New Roman"/>
      <family val="1"/>
    </font>
    <font>
      <sz val="9"/>
      <color theme="1"/>
      <name val="Segoe UI"/>
      <family val="2"/>
    </font>
    <font>
      <sz val="12"/>
      <color theme="1"/>
      <name val="Calibri"/>
      <family val="2"/>
      <scheme val="minor"/>
    </font>
    <font>
      <b/>
      <sz val="12"/>
      <color theme="1"/>
      <name val="Arial"/>
      <family val="2"/>
    </font>
    <font>
      <sz val="12"/>
      <color theme="1"/>
      <name val="Arial"/>
      <family val="2"/>
    </font>
    <font>
      <sz val="10"/>
      <name val="Tahoma"/>
      <family val="2"/>
    </font>
    <font>
      <sz val="12"/>
      <color rgb="FF1F497D"/>
      <name val="Arial"/>
      <family val="2"/>
    </font>
    <font>
      <b/>
      <sz val="14"/>
      <color rgb="FF1F497D"/>
      <name val="Arial"/>
      <family val="2"/>
    </font>
    <font>
      <b/>
      <sz val="12"/>
      <color rgb="FF1F497D"/>
      <name val="Arial"/>
      <family val="2"/>
    </font>
    <font>
      <sz val="11"/>
      <color theme="1"/>
      <name val="Calibri"/>
      <family val="2"/>
      <scheme val="minor"/>
    </font>
  </fonts>
  <fills count="22">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rgb="FF1F497D"/>
        <bgColor indexed="64"/>
      </patternFill>
    </fill>
    <fill>
      <patternFill patternType="solid">
        <fgColor rgb="FFBFBFBF"/>
        <bgColor indexed="64"/>
      </patternFill>
    </fill>
    <fill>
      <patternFill patternType="solid">
        <fgColor theme="0"/>
        <bgColor indexed="64"/>
      </patternFill>
    </fill>
    <fill>
      <patternFill patternType="solid">
        <fgColor theme="3" tint="0.39997558519241921"/>
        <bgColor indexed="64"/>
      </patternFill>
    </fill>
    <fill>
      <patternFill patternType="solid">
        <fgColor theme="2" tint="-9.9948118533890809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1"/>
        <bgColor indexed="64"/>
      </patternFill>
    </fill>
    <fill>
      <patternFill patternType="solid">
        <fgColor theme="5"/>
        <bgColor indexed="64"/>
      </patternFill>
    </fill>
    <fill>
      <patternFill patternType="solid">
        <fgColor theme="3"/>
        <bgColor indexed="64"/>
      </patternFill>
    </fill>
    <fill>
      <patternFill patternType="solid">
        <fgColor theme="3" tint="0.59996337778862885"/>
        <bgColor indexed="64"/>
      </patternFill>
    </fill>
    <fill>
      <patternFill patternType="solid">
        <fgColor theme="7" tint="0.39997558519241921"/>
        <bgColor indexed="64"/>
      </patternFill>
    </fill>
    <fill>
      <patternFill patternType="solid">
        <fgColor rgb="FFD9D9D9"/>
        <bgColor indexed="64"/>
      </patternFill>
    </fill>
    <fill>
      <patternFill patternType="solid">
        <fgColor theme="0" tint="-0.34995574816125979"/>
        <bgColor indexed="64"/>
      </patternFill>
    </fill>
    <fill>
      <patternFill patternType="solid">
        <fgColor theme="4" tint="-0.24994659260841701"/>
        <bgColor indexed="64"/>
      </patternFill>
    </fill>
    <fill>
      <patternFill patternType="solid">
        <fgColor theme="4" tint="0.79995117038483843"/>
        <bgColor indexed="64"/>
      </patternFill>
    </fill>
    <fill>
      <patternFill patternType="solid">
        <fgColor rgb="FFFFF2CC"/>
        <bgColor indexed="64"/>
      </patternFill>
    </fill>
    <fill>
      <patternFill patternType="solid">
        <fgColor theme="0" tint="-0.24994659260841701"/>
        <bgColor indexed="64"/>
      </patternFill>
    </fill>
  </fills>
  <borders count="86">
    <border>
      <left/>
      <right/>
      <top/>
      <bottom/>
      <diagonal/>
    </border>
    <border>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right style="thin">
        <color auto="1"/>
      </right>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right/>
      <top style="medium">
        <color auto="1"/>
      </top>
      <bottom/>
      <diagonal/>
    </border>
    <border>
      <left/>
      <right/>
      <top/>
      <bottom style="medium">
        <color auto="1"/>
      </bottom>
      <diagonal/>
    </border>
    <border>
      <left style="medium">
        <color auto="1"/>
      </left>
      <right style="thin">
        <color auto="1"/>
      </right>
      <top style="medium">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diagonal/>
    </border>
    <border>
      <left style="thin">
        <color auto="1"/>
      </left>
      <right style="thin">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top/>
      <bottom/>
      <diagonal/>
    </border>
    <border>
      <left/>
      <right style="thin">
        <color auto="1"/>
      </right>
      <top style="medium">
        <color auto="1"/>
      </top>
      <bottom/>
      <diagonal/>
    </border>
    <border>
      <left style="thin">
        <color auto="1"/>
      </left>
      <right style="thin">
        <color auto="1"/>
      </right>
      <top/>
      <bottom style="medium">
        <color auto="1"/>
      </bottom>
      <diagonal/>
    </border>
    <border>
      <left style="medium">
        <color auto="1"/>
      </left>
      <right/>
      <top/>
      <bottom style="thin">
        <color auto="1"/>
      </bottom>
      <diagonal/>
    </border>
    <border>
      <left/>
      <right style="medium">
        <color auto="1"/>
      </right>
      <top style="thin">
        <color auto="1"/>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right style="medium">
        <color auto="1"/>
      </right>
      <top/>
      <bottom style="thin">
        <color auto="1"/>
      </bottom>
      <diagonal/>
    </border>
    <border>
      <left style="medium">
        <color auto="1"/>
      </left>
      <right style="thin">
        <color auto="1"/>
      </right>
      <top/>
      <bottom style="medium">
        <color auto="1"/>
      </bottom>
      <diagonal/>
    </border>
    <border>
      <left style="medium">
        <color auto="1"/>
      </left>
      <right style="medium">
        <color auto="1"/>
      </right>
      <top/>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medium">
        <color auto="1"/>
      </bottom>
      <diagonal/>
    </border>
    <border>
      <left/>
      <right/>
      <top style="medium">
        <color auto="1"/>
      </top>
      <bottom style="thin">
        <color auto="1"/>
      </bottom>
      <diagonal/>
    </border>
    <border>
      <left/>
      <right/>
      <top style="thin">
        <color auto="1"/>
      </top>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medium">
        <color auto="1"/>
      </left>
      <right style="medium">
        <color auto="1"/>
      </right>
      <top/>
      <bottom style="thin">
        <color auto="1"/>
      </bottom>
      <diagonal/>
    </border>
    <border>
      <left/>
      <right style="medium">
        <color auto="1"/>
      </right>
      <top/>
      <bottom style="medium">
        <color auto="1"/>
      </bottom>
      <diagonal/>
    </border>
    <border>
      <left style="thin">
        <color auto="1"/>
      </left>
      <right/>
      <top/>
      <bottom/>
      <diagonal/>
    </border>
    <border>
      <left/>
      <right style="medium">
        <color auto="1"/>
      </right>
      <top/>
      <bottom/>
      <diagonal/>
    </border>
    <border>
      <left style="medium">
        <color auto="1"/>
      </left>
      <right style="medium">
        <color auto="1"/>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right/>
      <top/>
      <bottom style="thin">
        <color auto="1"/>
      </bottom>
      <diagonal/>
    </border>
    <border>
      <left/>
      <right/>
      <top style="thin">
        <color auto="1"/>
      </top>
      <bottom style="medium">
        <color auto="1"/>
      </bottom>
      <diagonal/>
    </border>
    <border>
      <left style="medium">
        <color rgb="FF000000"/>
      </left>
      <right/>
      <top style="medium">
        <color auto="1"/>
      </top>
      <bottom style="medium">
        <color rgb="FF000000"/>
      </bottom>
      <diagonal/>
    </border>
    <border>
      <left style="thin">
        <color auto="1"/>
      </left>
      <right style="medium">
        <color rgb="FF000000"/>
      </right>
      <top style="medium">
        <color auto="1"/>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auto="1"/>
      </top>
      <bottom style="medium">
        <color auto="1"/>
      </bottom>
      <diagonal/>
    </border>
    <border>
      <left style="medium">
        <color rgb="FF000000"/>
      </left>
      <right/>
      <top style="medium">
        <color rgb="FF000000"/>
      </top>
      <bottom style="medium">
        <color auto="1"/>
      </bottom>
      <diagonal/>
    </border>
    <border>
      <left/>
      <right style="medium">
        <color rgb="FF000000"/>
      </right>
      <top style="medium">
        <color rgb="FF000000"/>
      </top>
      <bottom style="medium">
        <color auto="1"/>
      </bottom>
      <diagonal/>
    </border>
  </borders>
  <cellStyleXfs count="15">
    <xf numFmtId="0" fontId="0" fillId="0" borderId="0"/>
    <xf numFmtId="9" fontId="73" fillId="0" borderId="0" applyFont="0" applyFill="0" applyBorder="0" applyAlignment="0" applyProtection="0"/>
    <xf numFmtId="44" fontId="73" fillId="0" borderId="0" applyFont="0" applyFill="0" applyBorder="0" applyAlignment="0" applyProtection="0"/>
    <xf numFmtId="42" fontId="1" fillId="0" borderId="0" applyFont="0" applyFill="0" applyBorder="0" applyAlignment="0" applyProtection="0"/>
    <xf numFmtId="43" fontId="73" fillId="0" borderId="0" applyFont="0" applyFill="0" applyBorder="0" applyAlignment="0" applyProtection="0"/>
    <xf numFmtId="41" fontId="1" fillId="0" borderId="0" applyFont="0" applyFill="0" applyBorder="0" applyAlignment="0" applyProtection="0"/>
    <xf numFmtId="0" fontId="1" fillId="0" borderId="0"/>
    <xf numFmtId="0" fontId="16" fillId="2" borderId="0" applyNumberFormat="0" applyBorder="0" applyAlignment="0" applyProtection="0"/>
    <xf numFmtId="0" fontId="20" fillId="3" borderId="0" applyNumberFormat="0" applyBorder="0" applyAlignment="0" applyProtection="0"/>
    <xf numFmtId="0" fontId="27" fillId="0" borderId="0"/>
    <xf numFmtId="0" fontId="31" fillId="0" borderId="0"/>
    <xf numFmtId="0" fontId="62" fillId="0" borderId="0" applyNumberFormat="0" applyFill="0" applyBorder="0" applyAlignment="0" applyProtection="0"/>
    <xf numFmtId="0" fontId="66" fillId="0" borderId="0"/>
    <xf numFmtId="0" fontId="31" fillId="0" borderId="0"/>
    <xf numFmtId="0" fontId="69" fillId="0" borderId="0"/>
  </cellStyleXfs>
  <cellXfs count="1010">
    <xf numFmtId="0" fontId="0" fillId="0" borderId="0" xfId="0"/>
    <xf numFmtId="0" fontId="4" fillId="0" borderId="0" xfId="0" applyFont="1"/>
    <xf numFmtId="164" fontId="0" fillId="0" borderId="0" xfId="4" applyNumberFormat="1" applyFont="1"/>
    <xf numFmtId="43" fontId="0" fillId="0" borderId="0" xfId="4" applyFont="1"/>
    <xf numFmtId="9" fontId="0" fillId="0" borderId="0" xfId="1" applyFont="1"/>
    <xf numFmtId="165" fontId="0" fillId="0" borderId="0" xfId="2" applyNumberFormat="1" applyFont="1"/>
    <xf numFmtId="0" fontId="5" fillId="0" borderId="0" xfId="0" applyFont="1"/>
    <xf numFmtId="43" fontId="6" fillId="4" borderId="1" xfId="4" applyFont="1" applyFill="1" applyBorder="1" applyAlignment="1">
      <alignment horizontal="center" vertical="center" wrapText="1"/>
    </xf>
    <xf numFmtId="0" fontId="7"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164" fontId="8" fillId="4" borderId="6" xfId="4" applyNumberFormat="1" applyFont="1" applyFill="1" applyBorder="1" applyAlignment="1">
      <alignment horizontal="center" vertical="center" wrapText="1"/>
    </xf>
    <xf numFmtId="9" fontId="8" fillId="4" borderId="7" xfId="1" applyFont="1" applyFill="1" applyBorder="1" applyAlignment="1">
      <alignment horizontal="center" vertical="center" wrapText="1"/>
    </xf>
    <xf numFmtId="44" fontId="8" fillId="4" borderId="5" xfId="2" applyFont="1" applyFill="1" applyBorder="1" applyAlignment="1">
      <alignment horizontal="center" vertical="center" wrapText="1"/>
    </xf>
    <xf numFmtId="164" fontId="8" fillId="4" borderId="7" xfId="4" applyNumberFormat="1" applyFont="1" applyFill="1" applyBorder="1" applyAlignment="1">
      <alignment horizontal="center" vertical="center" wrapText="1"/>
    </xf>
    <xf numFmtId="166" fontId="8" fillId="4" borderId="8" xfId="4" applyNumberFormat="1" applyFont="1" applyFill="1" applyBorder="1" applyAlignment="1">
      <alignment horizontal="center" vertical="center" wrapText="1"/>
    </xf>
    <xf numFmtId="43" fontId="8" fillId="4" borderId="9" xfId="4" applyFont="1" applyFill="1" applyBorder="1" applyAlignment="1">
      <alignment horizontal="center" vertical="center" wrapText="1"/>
    </xf>
    <xf numFmtId="0" fontId="3" fillId="5" borderId="10" xfId="0" applyFont="1" applyFill="1" applyBorder="1"/>
    <xf numFmtId="0" fontId="3" fillId="5" borderId="11" xfId="0" applyFont="1" applyFill="1" applyBorder="1"/>
    <xf numFmtId="164" fontId="3" fillId="5" borderId="11" xfId="4" applyNumberFormat="1" applyFont="1" applyFill="1" applyBorder="1" applyAlignment="1"/>
    <xf numFmtId="9" fontId="3" fillId="5" borderId="11" xfId="1" applyFont="1" applyFill="1" applyBorder="1" applyAlignment="1"/>
    <xf numFmtId="165" fontId="3" fillId="5" borderId="11" xfId="2" applyNumberFormat="1" applyFont="1" applyFill="1" applyBorder="1" applyAlignment="1"/>
    <xf numFmtId="44" fontId="3" fillId="5" borderId="11" xfId="2" applyFont="1" applyFill="1" applyBorder="1" applyAlignment="1"/>
    <xf numFmtId="166" fontId="3" fillId="5" borderId="11" xfId="4" applyNumberFormat="1" applyFont="1" applyFill="1" applyBorder="1" applyAlignment="1"/>
    <xf numFmtId="43" fontId="3" fillId="5" borderId="12" xfId="4" applyFont="1" applyFill="1" applyBorder="1" applyAlignment="1"/>
    <xf numFmtId="37" fontId="0" fillId="0" borderId="13" xfId="4" applyNumberFormat="1" applyFont="1" applyFill="1" applyBorder="1" applyAlignment="1">
      <alignment horizontal="right"/>
    </xf>
    <xf numFmtId="43" fontId="0" fillId="0" borderId="13" xfId="4" applyFont="1" applyFill="1" applyBorder="1"/>
    <xf numFmtId="164" fontId="0" fillId="0" borderId="13" xfId="4" applyNumberFormat="1" applyFont="1" applyFill="1" applyBorder="1"/>
    <xf numFmtId="9" fontId="0" fillId="0" borderId="13" xfId="1" applyFont="1" applyFill="1" applyBorder="1"/>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4" applyNumberFormat="1" applyFont="1" applyFill="1" applyBorder="1" applyAlignment="1">
      <alignment horizontal="right"/>
    </xf>
    <xf numFmtId="43" fontId="0" fillId="0" borderId="14" xfId="4" applyFont="1" applyFill="1" applyBorder="1"/>
    <xf numFmtId="164" fontId="0" fillId="0" borderId="15" xfId="4" applyNumberFormat="1" applyFont="1" applyFill="1" applyBorder="1"/>
    <xf numFmtId="164" fontId="0" fillId="0" borderId="15" xfId="4" applyNumberFormat="1" applyFont="1" applyFill="1" applyBorder="1" applyAlignment="1">
      <alignment horizontal="right"/>
    </xf>
    <xf numFmtId="165" fontId="0" fillId="0" borderId="15" xfId="2" applyNumberFormat="1" applyFont="1" applyFill="1" applyBorder="1"/>
    <xf numFmtId="44" fontId="0" fillId="0" borderId="15" xfId="2" applyFont="1" applyFill="1" applyBorder="1" applyAlignment="1">
      <alignment horizontal="right" vertical="top"/>
    </xf>
    <xf numFmtId="43" fontId="0" fillId="0" borderId="16" xfId="4" applyFont="1" applyFill="1" applyBorder="1" applyAlignment="1">
      <alignment horizontal="right"/>
    </xf>
    <xf numFmtId="44" fontId="0" fillId="0" borderId="15" xfId="2" applyFont="1" applyFill="1" applyBorder="1" applyAlignment="1">
      <alignment horizontal="right"/>
    </xf>
    <xf numFmtId="43" fontId="0" fillId="0" borderId="15" xfId="4" applyFont="1" applyFill="1" applyBorder="1" applyAlignment="1">
      <alignment horizontal="right"/>
    </xf>
    <xf numFmtId="43" fontId="0" fillId="0" borderId="15" xfId="4" applyFont="1" applyFill="1" applyBorder="1"/>
    <xf numFmtId="164" fontId="0" fillId="0" borderId="5" xfId="4" applyNumberFormat="1" applyFont="1" applyFill="1" applyBorder="1"/>
    <xf numFmtId="164" fontId="0" fillId="0" borderId="5" xfId="4" applyNumberFormat="1" applyFont="1" applyFill="1" applyBorder="1" applyAlignment="1">
      <alignment horizontal="right"/>
    </xf>
    <xf numFmtId="165" fontId="0" fillId="0" borderId="5" xfId="2" applyNumberFormat="1" applyFont="1" applyFill="1" applyBorder="1"/>
    <xf numFmtId="44" fontId="0" fillId="0" borderId="5" xfId="2" applyFont="1" applyFill="1" applyBorder="1" applyAlignment="1">
      <alignment horizontal="right" vertical="top"/>
    </xf>
    <xf numFmtId="166" fontId="0" fillId="0" borderId="5" xfId="4" applyNumberFormat="1" applyFont="1" applyFill="1" applyBorder="1" applyAlignment="1">
      <alignment horizontal="right"/>
    </xf>
    <xf numFmtId="43" fontId="0" fillId="0" borderId="6" xfId="4" applyFont="1" applyFill="1" applyBorder="1" applyAlignment="1">
      <alignment horizontal="right"/>
    </xf>
    <xf numFmtId="164" fontId="0" fillId="0" borderId="13" xfId="4" applyNumberFormat="1" applyFont="1" applyFill="1" applyBorder="1" applyAlignment="1">
      <alignment horizontal="right"/>
    </xf>
    <xf numFmtId="44" fontId="0" fillId="0" borderId="13" xfId="2" applyFont="1" applyFill="1" applyBorder="1" applyAlignment="1">
      <alignment horizontal="right"/>
    </xf>
    <xf numFmtId="43" fontId="0" fillId="0" borderId="13" xfId="4" applyFont="1" applyFill="1" applyBorder="1" applyAlignment="1">
      <alignment horizontal="right"/>
    </xf>
    <xf numFmtId="43" fontId="0" fillId="0" borderId="14" xfId="4" applyFont="1" applyFill="1" applyBorder="1" applyAlignment="1">
      <alignment horizontal="right"/>
    </xf>
    <xf numFmtId="43" fontId="0" fillId="0" borderId="5" xfId="4" applyFont="1" applyFill="1" applyBorder="1"/>
    <xf numFmtId="0" fontId="3" fillId="5" borderId="17" xfId="0" applyFont="1" applyFill="1" applyBorder="1"/>
    <xf numFmtId="164" fontId="3" fillId="5" borderId="18" xfId="4" applyNumberFormat="1" applyFont="1" applyFill="1" applyBorder="1" applyAlignment="1"/>
    <xf numFmtId="43" fontId="3" fillId="5" borderId="18" xfId="4" applyFont="1" applyFill="1" applyBorder="1" applyAlignment="1"/>
    <xf numFmtId="0" fontId="0" fillId="4" borderId="20" xfId="0" applyFill="1" applyBorder="1" applyAlignment="1">
      <alignment vertical="center" wrapText="1"/>
    </xf>
    <xf numFmtId="0" fontId="0" fillId="4" borderId="21" xfId="0" applyFill="1" applyBorder="1" applyAlignment="1">
      <alignment vertical="center" wrapText="1"/>
    </xf>
    <xf numFmtId="0" fontId="0" fillId="4" borderId="22" xfId="0" applyFill="1" applyBorder="1" applyAlignment="1">
      <alignment vertical="center" wrapText="1"/>
    </xf>
    <xf numFmtId="0" fontId="3" fillId="5" borderId="23" xfId="0" applyFont="1" applyFill="1" applyBorder="1"/>
    <xf numFmtId="164" fontId="3" fillId="5" borderId="24" xfId="4" applyNumberFormat="1" applyFont="1" applyFill="1" applyBorder="1" applyAlignment="1"/>
    <xf numFmtId="9" fontId="3" fillId="5" borderId="24" xfId="1" applyFont="1" applyFill="1" applyBorder="1" applyAlignment="1"/>
    <xf numFmtId="165" fontId="3" fillId="5" borderId="24" xfId="2" applyNumberFormat="1" applyFont="1" applyFill="1" applyBorder="1" applyAlignment="1"/>
    <xf numFmtId="44" fontId="3" fillId="5" borderId="24" xfId="2" applyFont="1" applyFill="1" applyBorder="1" applyAlignment="1"/>
    <xf numFmtId="166" fontId="3" fillId="5" borderId="24" xfId="4" applyNumberFormat="1" applyFont="1" applyFill="1" applyBorder="1" applyAlignment="1"/>
    <xf numFmtId="43" fontId="3" fillId="5" borderId="25" xfId="4" applyFont="1" applyFill="1" applyBorder="1" applyAlignment="1"/>
    <xf numFmtId="167" fontId="0" fillId="0" borderId="13" xfId="2" applyNumberFormat="1" applyFont="1" applyFill="1" applyBorder="1" applyAlignment="1">
      <alignment horizontal="right" vertical="top"/>
    </xf>
    <xf numFmtId="167" fontId="0" fillId="0" borderId="5" xfId="2" applyNumberFormat="1" applyFont="1" applyFill="1" applyBorder="1" applyAlignment="1">
      <alignment horizontal="right" vertical="top"/>
    </xf>
    <xf numFmtId="165" fontId="3" fillId="5" borderId="18" xfId="2" applyNumberFormat="1" applyFont="1" applyFill="1" applyBorder="1" applyAlignment="1"/>
    <xf numFmtId="44" fontId="3" fillId="5" borderId="18" xfId="2" applyFont="1" applyFill="1" applyBorder="1" applyAlignment="1">
      <alignment horizontal="right"/>
    </xf>
    <xf numFmtId="0" fontId="0" fillId="6" borderId="26" xfId="0" applyFill="1" applyBorder="1"/>
    <xf numFmtId="0" fontId="0" fillId="6" borderId="15" xfId="0" applyFill="1" applyBorder="1" applyAlignment="1">
      <alignment vertical="center" wrapText="1"/>
    </xf>
    <xf numFmtId="0" fontId="0" fillId="6" borderId="22" xfId="0" applyFill="1" applyBorder="1" applyAlignment="1">
      <alignment vertical="center" wrapText="1"/>
    </xf>
    <xf numFmtId="0" fontId="3" fillId="5" borderId="26" xfId="0" applyFont="1" applyFill="1" applyBorder="1"/>
    <xf numFmtId="0" fontId="3" fillId="5" borderId="15" xfId="0" applyFont="1" applyFill="1" applyBorder="1"/>
    <xf numFmtId="164" fontId="3" fillId="5" borderId="15" xfId="4" applyNumberFormat="1" applyFont="1" applyFill="1" applyBorder="1" applyAlignment="1"/>
    <xf numFmtId="9" fontId="3" fillId="5" borderId="15" xfId="1" applyFont="1" applyFill="1" applyBorder="1" applyAlignment="1"/>
    <xf numFmtId="165" fontId="3" fillId="5" borderId="15" xfId="2" applyNumberFormat="1" applyFont="1" applyFill="1" applyBorder="1" applyAlignment="1"/>
    <xf numFmtId="44" fontId="3" fillId="5" borderId="15" xfId="2" applyFont="1" applyFill="1" applyBorder="1" applyAlignment="1"/>
    <xf numFmtId="166" fontId="3" fillId="5" borderId="15" xfId="4" applyNumberFormat="1" applyFont="1" applyFill="1" applyBorder="1" applyAlignment="1"/>
    <xf numFmtId="43" fontId="3" fillId="5" borderId="16" xfId="4" applyFont="1" applyFill="1" applyBorder="1" applyAlignment="1"/>
    <xf numFmtId="0" fontId="0" fillId="0" borderId="26" xfId="0" applyBorder="1"/>
    <xf numFmtId="43" fontId="3" fillId="5" borderId="15" xfId="4" applyFont="1" applyFill="1" applyBorder="1" applyAlignment="1"/>
    <xf numFmtId="164" fontId="3" fillId="5" borderId="15" xfId="4" applyNumberFormat="1" applyFont="1" applyFill="1" applyBorder="1" applyAlignment="1">
      <alignment horizontal="right"/>
    </xf>
    <xf numFmtId="44" fontId="3" fillId="5" borderId="15" xfId="2" applyFont="1" applyFill="1" applyBorder="1" applyAlignment="1">
      <alignment horizontal="right"/>
    </xf>
    <xf numFmtId="166" fontId="3" fillId="5" borderId="15" xfId="4" applyNumberFormat="1" applyFont="1" applyFill="1" applyBorder="1" applyAlignment="1">
      <alignment horizontal="right"/>
    </xf>
    <xf numFmtId="43" fontId="3" fillId="5" borderId="16" xfId="4" applyFont="1" applyFill="1" applyBorder="1" applyAlignment="1">
      <alignment horizontal="right"/>
    </xf>
    <xf numFmtId="0" fontId="3" fillId="5" borderId="7" xfId="0" applyFont="1" applyFill="1" applyBorder="1"/>
    <xf numFmtId="164" fontId="3" fillId="5" borderId="5" xfId="4" applyNumberFormat="1" applyFont="1" applyFill="1" applyBorder="1" applyAlignment="1"/>
    <xf numFmtId="43" fontId="3" fillId="5" borderId="5" xfId="4" applyFont="1" applyFill="1" applyBorder="1" applyAlignment="1"/>
    <xf numFmtId="165" fontId="3" fillId="5" borderId="5" xfId="2" applyNumberFormat="1" applyFont="1" applyFill="1" applyBorder="1" applyAlignment="1"/>
    <xf numFmtId="44" fontId="3" fillId="5" borderId="5" xfId="2" applyFont="1" applyFill="1" applyBorder="1" applyAlignment="1">
      <alignment horizontal="right"/>
    </xf>
    <xf numFmtId="0" fontId="2" fillId="0" borderId="0" xfId="0" applyFont="1"/>
    <xf numFmtId="9" fontId="2" fillId="0" borderId="0" xfId="1" applyFont="1"/>
    <xf numFmtId="165" fontId="2" fillId="0" borderId="0" xfId="2" applyNumberFormat="1" applyFont="1"/>
    <xf numFmtId="164" fontId="2" fillId="0" borderId="0" xfId="4" applyNumberFormat="1" applyFont="1"/>
    <xf numFmtId="43" fontId="2" fillId="0" borderId="0" xfId="4" applyFont="1"/>
    <xf numFmtId="0" fontId="8" fillId="4" borderId="7" xfId="0" applyFont="1" applyFill="1" applyBorder="1" applyAlignment="1">
      <alignment horizontal="center" vertical="center" wrapText="1"/>
    </xf>
    <xf numFmtId="9" fontId="8" fillId="4" borderId="6" xfId="1" applyFont="1" applyFill="1" applyBorder="1" applyAlignment="1">
      <alignment horizontal="center" vertical="center" wrapText="1"/>
    </xf>
    <xf numFmtId="44" fontId="8" fillId="4" borderId="6" xfId="2"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165" fontId="0" fillId="0" borderId="13" xfId="2" applyNumberFormat="1" applyFont="1" applyBorder="1" applyAlignment="1"/>
    <xf numFmtId="165" fontId="0" fillId="0" borderId="15" xfId="2" applyNumberFormat="1" applyFont="1" applyBorder="1" applyAlignment="1"/>
    <xf numFmtId="0" fontId="3" fillId="5" borderId="27" xfId="0" applyFont="1" applyFill="1" applyBorder="1"/>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horizontal="left" vertical="center"/>
    </xf>
    <xf numFmtId="0" fontId="0" fillId="0" borderId="32" xfId="0" applyBorder="1" applyAlignment="1">
      <alignment vertical="center"/>
    </xf>
    <xf numFmtId="0" fontId="3" fillId="5" borderId="33" xfId="0" applyFont="1" applyFill="1" applyBorder="1"/>
    <xf numFmtId="0" fontId="3" fillId="5" borderId="34" xfId="0" applyFont="1" applyFill="1" applyBorder="1"/>
    <xf numFmtId="0" fontId="0" fillId="0" borderId="31" xfId="0" applyBorder="1" applyAlignment="1">
      <alignment vertical="center"/>
    </xf>
    <xf numFmtId="0" fontId="0" fillId="6" borderId="21" xfId="0" applyFill="1" applyBorder="1" applyAlignment="1">
      <alignment vertical="center" wrapText="1"/>
    </xf>
    <xf numFmtId="0" fontId="3" fillId="5" borderId="35" xfId="0" applyFont="1" applyFill="1" applyBorder="1"/>
    <xf numFmtId="0" fontId="0" fillId="0" borderId="35" xfId="0" applyBorder="1"/>
    <xf numFmtId="0" fontId="3" fillId="5" borderId="36" xfId="0" applyFont="1" applyFill="1" applyBorder="1"/>
    <xf numFmtId="164" fontId="0" fillId="0" borderId="18" xfId="4" applyNumberFormat="1" applyFont="1" applyFill="1" applyBorder="1"/>
    <xf numFmtId="43" fontId="0" fillId="0" borderId="18" xfId="4" applyFont="1" applyFill="1" applyBorder="1"/>
    <xf numFmtId="37" fontId="0" fillId="0" borderId="18" xfId="4" applyNumberFormat="1" applyFont="1" applyFill="1" applyBorder="1" applyAlignment="1">
      <alignment horizontal="right"/>
    </xf>
    <xf numFmtId="9" fontId="0" fillId="0" borderId="18" xfId="1" applyFont="1" applyFill="1" applyBorder="1"/>
    <xf numFmtId="165" fontId="0" fillId="0" borderId="18" xfId="2" applyNumberFormat="1" applyFont="1" applyBorder="1" applyAlignment="1"/>
    <xf numFmtId="44" fontId="0" fillId="0" borderId="18" xfId="2" applyFont="1" applyFill="1" applyBorder="1" applyAlignment="1">
      <alignment horizontal="right" vertical="top"/>
    </xf>
    <xf numFmtId="166" fontId="0" fillId="0" borderId="18" xfId="4" applyNumberFormat="1" applyFont="1" applyFill="1" applyBorder="1" applyAlignment="1">
      <alignment horizontal="right"/>
    </xf>
    <xf numFmtId="43" fontId="0" fillId="0" borderId="19" xfId="4" applyFont="1" applyFill="1" applyBorder="1"/>
    <xf numFmtId="0" fontId="8" fillId="4" borderId="13" xfId="0" applyFont="1" applyFill="1" applyBorder="1" applyAlignment="1">
      <alignment horizontal="center" vertical="center" wrapText="1"/>
    </xf>
    <xf numFmtId="0" fontId="3" fillId="5" borderId="5" xfId="0" applyFont="1" applyFill="1" applyBorder="1"/>
    <xf numFmtId="0" fontId="0" fillId="4" borderId="3" xfId="0" applyFill="1" applyBorder="1" applyAlignment="1">
      <alignment vertical="center" wrapText="1"/>
    </xf>
    <xf numFmtId="0" fontId="0" fillId="4" borderId="13" xfId="0" applyFill="1" applyBorder="1" applyAlignment="1">
      <alignment vertical="center" wrapText="1"/>
    </xf>
    <xf numFmtId="0" fontId="8" fillId="4" borderId="37" xfId="0" applyFont="1" applyFill="1" applyBorder="1" applyAlignment="1">
      <alignment horizontal="center" vertical="center" wrapText="1"/>
    </xf>
    <xf numFmtId="164" fontId="8" fillId="4" borderId="36" xfId="4" applyNumberFormat="1"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7" borderId="37" xfId="0" applyFont="1" applyFill="1" applyBorder="1" applyAlignment="1">
      <alignment horizontal="center" vertical="center" wrapText="1"/>
    </xf>
    <xf numFmtId="0" fontId="8" fillId="7" borderId="13" xfId="0" applyFont="1" applyFill="1" applyBorder="1" applyAlignment="1">
      <alignment horizontal="center" vertical="center" wrapText="1"/>
    </xf>
    <xf numFmtId="164" fontId="8" fillId="7" borderId="36" xfId="4" applyNumberFormat="1" applyFont="1" applyFill="1" applyBorder="1" applyAlignment="1">
      <alignment horizontal="center" vertical="center" wrapText="1"/>
    </xf>
    <xf numFmtId="164" fontId="8" fillId="7" borderId="5" xfId="4" applyNumberFormat="1" applyFont="1" applyFill="1" applyBorder="1" applyAlignment="1">
      <alignment horizontal="center" vertical="center" wrapText="1"/>
    </xf>
    <xf numFmtId="0" fontId="6" fillId="7" borderId="38"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7" borderId="39" xfId="0" applyFont="1" applyFill="1" applyBorder="1" applyAlignment="1">
      <alignment horizontal="center" vertical="center" wrapText="1"/>
    </xf>
    <xf numFmtId="0" fontId="6" fillId="7" borderId="0" xfId="0" applyFont="1" applyFill="1" applyAlignment="1">
      <alignment horizontal="center" vertical="center" wrapText="1"/>
    </xf>
    <xf numFmtId="0" fontId="6" fillId="4" borderId="24" xfId="0" applyFont="1" applyFill="1" applyBorder="1" applyAlignment="1">
      <alignment horizontal="center" vertical="center" wrapText="1"/>
    </xf>
    <xf numFmtId="164" fontId="8" fillId="4" borderId="24" xfId="4" applyNumberFormat="1" applyFont="1" applyFill="1" applyBorder="1" applyAlignment="1">
      <alignment horizontal="center" vertical="center" wrapText="1"/>
    </xf>
    <xf numFmtId="0" fontId="0" fillId="0" borderId="42" xfId="0" applyBorder="1" applyAlignment="1">
      <alignment horizontal="left" vertical="center" wrapText="1"/>
    </xf>
    <xf numFmtId="164" fontId="0" fillId="0" borderId="0" xfId="4" applyNumberFormat="1" applyFont="1" applyFill="1" applyBorder="1"/>
    <xf numFmtId="165" fontId="0" fillId="0" borderId="0" xfId="2" applyNumberFormat="1" applyFont="1" applyFill="1" applyBorder="1"/>
    <xf numFmtId="164" fontId="0" fillId="0" borderId="0" xfId="4" applyNumberFormat="1" applyFont="1" applyFill="1" applyBorder="1" applyAlignment="1">
      <alignment horizontal="right"/>
    </xf>
    <xf numFmtId="164" fontId="3" fillId="0" borderId="0" xfId="4"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4"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0" fontId="8" fillId="4" borderId="28" xfId="0" applyFont="1" applyFill="1" applyBorder="1" applyAlignment="1">
      <alignment horizontal="center" vertical="center" wrapText="1"/>
    </xf>
    <xf numFmtId="9" fontId="0" fillId="0" borderId="0" xfId="1" applyFont="1" applyFill="1" applyBorder="1"/>
    <xf numFmtId="0" fontId="0" fillId="0" borderId="2" xfId="0" applyBorder="1" applyAlignment="1">
      <alignment horizontal="left" vertical="center" wrapText="1"/>
    </xf>
    <xf numFmtId="0" fontId="0" fillId="0" borderId="41" xfId="0" applyBorder="1" applyAlignment="1">
      <alignment horizontal="left" vertical="center" wrapText="1"/>
    </xf>
    <xf numFmtId="0" fontId="3" fillId="5" borderId="44" xfId="0" applyFont="1" applyFill="1" applyBorder="1"/>
    <xf numFmtId="0" fontId="3" fillId="5" borderId="45" xfId="0" applyFont="1" applyFill="1" applyBorder="1"/>
    <xf numFmtId="0" fontId="3" fillId="5" borderId="46" xfId="0" applyFont="1" applyFill="1" applyBorder="1"/>
    <xf numFmtId="0" fontId="3" fillId="5" borderId="47" xfId="0" applyFont="1" applyFill="1" applyBorder="1"/>
    <xf numFmtId="0" fontId="3" fillId="5" borderId="48" xfId="0" applyFont="1" applyFill="1" applyBorder="1"/>
    <xf numFmtId="0" fontId="0" fillId="4" borderId="49" xfId="0" applyFill="1" applyBorder="1" applyAlignment="1">
      <alignment vertical="center" wrapText="1"/>
    </xf>
    <xf numFmtId="0" fontId="0" fillId="4" borderId="40" xfId="0" applyFill="1" applyBorder="1" applyAlignment="1">
      <alignment vertical="center" wrapText="1"/>
    </xf>
    <xf numFmtId="0" fontId="3" fillId="5" borderId="30" xfId="0" applyFont="1" applyFill="1" applyBorder="1"/>
    <xf numFmtId="0" fontId="0" fillId="0" borderId="20"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vertical="center" wrapText="1"/>
    </xf>
    <xf numFmtId="0" fontId="0" fillId="0" borderId="20" xfId="0" applyBorder="1" applyAlignment="1">
      <alignment vertical="center" wrapText="1"/>
    </xf>
    <xf numFmtId="165" fontId="3" fillId="5" borderId="44" xfId="0" applyNumberFormat="1" applyFont="1" applyFill="1" applyBorder="1" applyAlignment="1">
      <alignment horizontal="center"/>
    </xf>
    <xf numFmtId="165" fontId="3" fillId="5" borderId="49" xfId="0" applyNumberFormat="1" applyFont="1" applyFill="1" applyBorder="1" applyAlignment="1">
      <alignment horizontal="center"/>
    </xf>
    <xf numFmtId="165" fontId="3" fillId="5" borderId="53" xfId="0" applyNumberFormat="1" applyFont="1" applyFill="1" applyBorder="1" applyAlignment="1">
      <alignment horizontal="center"/>
    </xf>
    <xf numFmtId="165" fontId="3" fillId="5" borderId="54" xfId="0" applyNumberFormat="1" applyFont="1" applyFill="1" applyBorder="1" applyAlignment="1">
      <alignment horizontal="center"/>
    </xf>
    <xf numFmtId="165" fontId="0" fillId="4" borderId="55" xfId="0" applyNumberFormat="1" applyFill="1" applyBorder="1" applyAlignment="1">
      <alignment horizontal="center" vertical="center" wrapText="1"/>
    </xf>
    <xf numFmtId="165" fontId="0" fillId="4" borderId="18" xfId="0" applyNumberFormat="1" applyFill="1" applyBorder="1" applyAlignment="1">
      <alignment horizontal="center" vertical="center" wrapText="1"/>
    </xf>
    <xf numFmtId="165" fontId="0" fillId="4" borderId="13" xfId="0" applyNumberFormat="1" applyFill="1" applyBorder="1" applyAlignment="1">
      <alignment horizontal="center" vertical="center" wrapText="1"/>
    </xf>
    <xf numFmtId="165" fontId="3" fillId="5" borderId="48" xfId="0" applyNumberFormat="1" applyFont="1" applyFill="1" applyBorder="1" applyAlignment="1">
      <alignment horizontal="center"/>
    </xf>
    <xf numFmtId="165" fontId="3" fillId="5" borderId="24" xfId="0" applyNumberFormat="1" applyFont="1" applyFill="1" applyBorder="1" applyAlignment="1">
      <alignment horizontal="center"/>
    </xf>
    <xf numFmtId="165" fontId="0" fillId="4" borderId="40" xfId="0" applyNumberFormat="1" applyFill="1" applyBorder="1" applyAlignment="1">
      <alignment horizontal="center" vertical="center" wrapText="1"/>
    </xf>
    <xf numFmtId="165" fontId="0" fillId="4" borderId="49" xfId="0" applyNumberFormat="1" applyFill="1" applyBorder="1" applyAlignment="1">
      <alignment horizontal="center" vertical="center" wrapText="1"/>
    </xf>
    <xf numFmtId="165" fontId="3" fillId="5" borderId="7" xfId="0" applyNumberFormat="1" applyFont="1" applyFill="1" applyBorder="1" applyAlignment="1">
      <alignment horizontal="center"/>
    </xf>
    <xf numFmtId="165" fontId="0" fillId="4" borderId="3" xfId="0" applyNumberFormat="1" applyFill="1" applyBorder="1" applyAlignment="1">
      <alignment horizontal="center" vertical="center" wrapText="1"/>
    </xf>
    <xf numFmtId="168" fontId="3" fillId="5" borderId="39" xfId="1" applyNumberFormat="1" applyFont="1" applyFill="1" applyBorder="1" applyAlignment="1">
      <alignment horizontal="center"/>
    </xf>
    <xf numFmtId="168" fontId="0" fillId="4" borderId="4" xfId="1" applyNumberFormat="1" applyFont="1" applyFill="1" applyBorder="1" applyAlignment="1">
      <alignment horizontal="center" vertical="center" wrapText="1"/>
    </xf>
    <xf numFmtId="168" fontId="3" fillId="5" borderId="56" xfId="1" applyNumberFormat="1" applyFont="1" applyFill="1" applyBorder="1" applyAlignment="1">
      <alignment horizontal="center"/>
    </xf>
    <xf numFmtId="168" fontId="0" fillId="0" borderId="29" xfId="1" applyNumberFormat="1" applyFont="1" applyBorder="1" applyAlignment="1">
      <alignment horizontal="center" vertical="center"/>
    </xf>
    <xf numFmtId="168" fontId="0" fillId="0" borderId="30" xfId="1" applyNumberFormat="1" applyFont="1" applyBorder="1" applyAlignment="1">
      <alignment horizontal="center" vertical="center"/>
    </xf>
    <xf numFmtId="168" fontId="3" fillId="5" borderId="57" xfId="1" applyNumberFormat="1" applyFont="1" applyFill="1" applyBorder="1" applyAlignment="1">
      <alignment horizontal="center"/>
    </xf>
    <xf numFmtId="168" fontId="0" fillId="4" borderId="58" xfId="1" applyNumberFormat="1" applyFont="1" applyFill="1" applyBorder="1" applyAlignment="1">
      <alignment horizontal="center" vertical="center" wrapText="1"/>
    </xf>
    <xf numFmtId="168" fontId="3" fillId="5" borderId="6" xfId="1" applyNumberFormat="1" applyFont="1" applyFill="1" applyBorder="1" applyAlignment="1">
      <alignment horizontal="center"/>
    </xf>
    <xf numFmtId="168" fontId="0" fillId="4" borderId="14" xfId="1" applyNumberFormat="1" applyFont="1" applyFill="1" applyBorder="1" applyAlignment="1">
      <alignment horizontal="center" vertical="center" wrapText="1"/>
    </xf>
    <xf numFmtId="168" fontId="3" fillId="5" borderId="58" xfId="1" applyNumberFormat="1" applyFont="1" applyFill="1" applyBorder="1" applyAlignment="1">
      <alignment horizontal="center"/>
    </xf>
    <xf numFmtId="168" fontId="0" fillId="4" borderId="59" xfId="1" applyNumberFormat="1" applyFont="1" applyFill="1" applyBorder="1" applyAlignment="1">
      <alignment horizontal="center" vertical="center" wrapText="1"/>
    </xf>
    <xf numFmtId="168" fontId="3" fillId="5" borderId="49" xfId="1" applyNumberFormat="1" applyFont="1" applyFill="1" applyBorder="1" applyAlignment="1">
      <alignment horizontal="center"/>
    </xf>
    <xf numFmtId="168" fontId="0" fillId="0" borderId="13" xfId="1" applyNumberFormat="1" applyFont="1" applyFill="1" applyBorder="1" applyAlignment="1">
      <alignment horizontal="center"/>
    </xf>
    <xf numFmtId="168" fontId="0" fillId="0" borderId="15" xfId="1" applyNumberFormat="1" applyFont="1" applyFill="1" applyBorder="1" applyAlignment="1">
      <alignment horizontal="center"/>
    </xf>
    <xf numFmtId="168" fontId="3" fillId="5" borderId="54" xfId="1" applyNumberFormat="1" applyFont="1" applyFill="1" applyBorder="1" applyAlignment="1">
      <alignment horizontal="center"/>
    </xf>
    <xf numFmtId="168" fontId="0" fillId="4" borderId="13" xfId="1" applyNumberFormat="1" applyFont="1" applyFill="1" applyBorder="1" applyAlignment="1">
      <alignment horizontal="center" vertical="center" wrapText="1"/>
    </xf>
    <xf numFmtId="168" fontId="3" fillId="5" borderId="24" xfId="1" applyNumberFormat="1" applyFont="1" applyFill="1" applyBorder="1" applyAlignment="1">
      <alignment horizontal="center"/>
    </xf>
    <xf numFmtId="168" fontId="0" fillId="4" borderId="49" xfId="1" applyNumberFormat="1" applyFont="1" applyFill="1" applyBorder="1" applyAlignment="1">
      <alignment horizontal="center" vertical="center" wrapText="1"/>
    </xf>
    <xf numFmtId="168" fontId="3" fillId="5" borderId="5" xfId="1" applyNumberFormat="1" applyFont="1" applyFill="1" applyBorder="1" applyAlignment="1">
      <alignment horizontal="center"/>
    </xf>
    <xf numFmtId="164" fontId="3" fillId="5" borderId="45" xfId="4" applyNumberFormat="1" applyFont="1" applyFill="1" applyBorder="1" applyAlignment="1">
      <alignment horizontal="center"/>
    </xf>
    <xf numFmtId="164" fontId="3" fillId="5" borderId="54" xfId="4" applyNumberFormat="1" applyFont="1" applyFill="1" applyBorder="1" applyAlignment="1">
      <alignment horizontal="center"/>
    </xf>
    <xf numFmtId="164" fontId="0" fillId="4" borderId="50" xfId="4" applyNumberFormat="1" applyFont="1" applyFill="1" applyBorder="1" applyAlignment="1">
      <alignment horizontal="center" vertical="center" wrapText="1"/>
    </xf>
    <xf numFmtId="164" fontId="0" fillId="4" borderId="13" xfId="4" applyNumberFormat="1" applyFont="1" applyFill="1" applyBorder="1" applyAlignment="1">
      <alignment horizontal="center" vertical="center" wrapText="1"/>
    </xf>
    <xf numFmtId="164" fontId="3" fillId="5" borderId="48" xfId="4" applyNumberFormat="1" applyFont="1" applyFill="1" applyBorder="1" applyAlignment="1">
      <alignment horizontal="center"/>
    </xf>
    <xf numFmtId="164" fontId="3" fillId="5" borderId="24" xfId="4" applyNumberFormat="1" applyFont="1" applyFill="1" applyBorder="1" applyAlignment="1">
      <alignment horizontal="center"/>
    </xf>
    <xf numFmtId="164" fontId="3" fillId="5" borderId="60" xfId="4" applyNumberFormat="1" applyFont="1" applyFill="1" applyBorder="1" applyAlignment="1">
      <alignment horizontal="center"/>
    </xf>
    <xf numFmtId="164" fontId="0" fillId="4" borderId="40" xfId="4" applyNumberFormat="1" applyFont="1" applyFill="1" applyBorder="1" applyAlignment="1">
      <alignment horizontal="center" vertical="center" wrapText="1"/>
    </xf>
    <xf numFmtId="164" fontId="0" fillId="4" borderId="49" xfId="4" applyNumberFormat="1" applyFont="1" applyFill="1" applyBorder="1" applyAlignment="1">
      <alignment horizontal="center" vertical="center" wrapText="1"/>
    </xf>
    <xf numFmtId="164" fontId="3" fillId="5" borderId="7" xfId="4" applyNumberFormat="1" applyFont="1" applyFill="1" applyBorder="1" applyAlignment="1">
      <alignment horizontal="center"/>
    </xf>
    <xf numFmtId="164" fontId="3" fillId="5" borderId="5" xfId="4" applyNumberFormat="1" applyFont="1" applyFill="1" applyBorder="1" applyAlignment="1">
      <alignment horizontal="center"/>
    </xf>
    <xf numFmtId="164" fontId="0" fillId="4" borderId="3" xfId="4" applyNumberFormat="1" applyFont="1" applyFill="1" applyBorder="1" applyAlignment="1">
      <alignment horizontal="center" vertical="center" wrapText="1"/>
    </xf>
    <xf numFmtId="0" fontId="3" fillId="5" borderId="40" xfId="0" applyFont="1" applyFill="1" applyBorder="1" applyAlignment="1">
      <alignment horizontal="center"/>
    </xf>
    <xf numFmtId="0" fontId="3" fillId="5" borderId="49" xfId="0" applyFont="1" applyFill="1" applyBorder="1" applyAlignment="1">
      <alignment horizontal="center"/>
    </xf>
    <xf numFmtId="164" fontId="0" fillId="0" borderId="13" xfId="4" applyNumberFormat="1" applyFont="1" applyFill="1" applyBorder="1" applyAlignment="1">
      <alignment horizontal="center" vertical="center"/>
    </xf>
    <xf numFmtId="168" fontId="0" fillId="0" borderId="14" xfId="1" applyNumberFormat="1" applyFont="1" applyFill="1" applyBorder="1" applyAlignment="1">
      <alignment horizontal="center" vertical="center"/>
    </xf>
    <xf numFmtId="164" fontId="0" fillId="0" borderId="15" xfId="4" applyNumberFormat="1" applyFont="1" applyFill="1" applyBorder="1" applyAlignment="1">
      <alignment horizontal="center" vertical="center"/>
    </xf>
    <xf numFmtId="168" fontId="0" fillId="0" borderId="16" xfId="1" applyNumberFormat="1" applyFont="1" applyFill="1" applyBorder="1" applyAlignment="1">
      <alignment horizontal="center" vertical="center"/>
    </xf>
    <xf numFmtId="0" fontId="0" fillId="0" borderId="61" xfId="0" applyBorder="1" applyAlignment="1">
      <alignment horizontal="left" vertical="center" wrapText="1"/>
    </xf>
    <xf numFmtId="0" fontId="0" fillId="0" borderId="17" xfId="0" applyBorder="1"/>
    <xf numFmtId="0" fontId="3" fillId="5" borderId="42" xfId="0" applyFont="1" applyFill="1" applyBorder="1"/>
    <xf numFmtId="164" fontId="3" fillId="5" borderId="41" xfId="4" applyNumberFormat="1" applyFont="1" applyFill="1" applyBorder="1" applyAlignment="1">
      <alignment horizontal="center"/>
    </xf>
    <xf numFmtId="164" fontId="3" fillId="5" borderId="62" xfId="4" applyNumberFormat="1" applyFont="1" applyFill="1" applyBorder="1" applyAlignment="1">
      <alignment horizontal="center"/>
    </xf>
    <xf numFmtId="168" fontId="3" fillId="5" borderId="63" xfId="1" applyNumberFormat="1" applyFont="1" applyFill="1" applyBorder="1" applyAlignment="1">
      <alignment horizontal="center"/>
    </xf>
    <xf numFmtId="164" fontId="3" fillId="5" borderId="64" xfId="4" applyNumberFormat="1" applyFont="1" applyFill="1" applyBorder="1" applyAlignment="1">
      <alignment horizontal="center"/>
    </xf>
    <xf numFmtId="0" fontId="3" fillId="8" borderId="46" xfId="0" applyFont="1" applyFill="1" applyBorder="1"/>
    <xf numFmtId="0" fontId="3" fillId="5" borderId="58" xfId="4" applyNumberFormat="1" applyFont="1" applyFill="1" applyBorder="1" applyAlignment="1">
      <alignment horizontal="center"/>
    </xf>
    <xf numFmtId="164" fontId="0" fillId="0" borderId="13" xfId="4" applyNumberFormat="1" applyFont="1" applyFill="1" applyBorder="1" applyAlignment="1">
      <alignment horizontal="center"/>
    </xf>
    <xf numFmtId="164" fontId="3" fillId="5" borderId="39" xfId="4" applyNumberFormat="1" applyFont="1" applyFill="1" applyBorder="1" applyAlignment="1">
      <alignment horizontal="center"/>
    </xf>
    <xf numFmtId="164" fontId="0" fillId="4" borderId="65" xfId="4" applyNumberFormat="1" applyFont="1" applyFill="1" applyBorder="1" applyAlignment="1">
      <alignment horizontal="center" vertical="center" wrapText="1"/>
    </xf>
    <xf numFmtId="164" fontId="3" fillId="5" borderId="66" xfId="4" applyNumberFormat="1" applyFont="1" applyFill="1" applyBorder="1" applyAlignment="1">
      <alignment horizontal="center"/>
    </xf>
    <xf numFmtId="165" fontId="3" fillId="5" borderId="60" xfId="2" applyNumberFormat="1" applyFont="1" applyFill="1" applyBorder="1" applyAlignment="1">
      <alignment horizontal="center"/>
    </xf>
    <xf numFmtId="165" fontId="3" fillId="5" borderId="54" xfId="2" applyNumberFormat="1" applyFont="1" applyFill="1" applyBorder="1" applyAlignment="1">
      <alignment horizontal="center"/>
    </xf>
    <xf numFmtId="168" fontId="0" fillId="0" borderId="67" xfId="1" applyNumberFormat="1" applyFont="1" applyBorder="1" applyAlignment="1">
      <alignment horizontal="center" vertical="center"/>
    </xf>
    <xf numFmtId="164" fontId="3" fillId="9" borderId="7" xfId="4" applyNumberFormat="1" applyFont="1" applyFill="1" applyBorder="1" applyAlignment="1">
      <alignment horizontal="center" vertical="center"/>
    </xf>
    <xf numFmtId="164" fontId="3" fillId="9" borderId="5" xfId="4" applyNumberFormat="1" applyFont="1" applyFill="1" applyBorder="1" applyAlignment="1">
      <alignment horizontal="center" vertical="center"/>
    </xf>
    <xf numFmtId="168" fontId="3" fillId="9" borderId="6" xfId="1" applyNumberFormat="1" applyFont="1" applyFill="1" applyBorder="1" applyAlignment="1">
      <alignment horizontal="center" vertical="center"/>
    </xf>
    <xf numFmtId="165" fontId="3" fillId="9" borderId="0" xfId="2" applyNumberFormat="1" applyFont="1" applyFill="1" applyBorder="1" applyAlignment="1">
      <alignment horizontal="center" vertical="center"/>
    </xf>
    <xf numFmtId="165" fontId="3" fillId="9" borderId="5" xfId="2" applyNumberFormat="1" applyFont="1" applyFill="1" applyBorder="1" applyAlignment="1">
      <alignment horizontal="center" vertical="center"/>
    </xf>
    <xf numFmtId="168" fontId="3" fillId="9" borderId="0" xfId="1" applyNumberFormat="1" applyFont="1" applyFill="1" applyBorder="1" applyAlignment="1">
      <alignment horizontal="center" vertical="center"/>
    </xf>
    <xf numFmtId="164" fontId="3" fillId="9" borderId="5" xfId="4" applyNumberFormat="1" applyFont="1" applyFill="1" applyBorder="1" applyAlignment="1">
      <alignment horizontal="center"/>
    </xf>
    <xf numFmtId="0" fontId="3" fillId="8" borderId="47" xfId="0" applyFont="1" applyFill="1" applyBorder="1"/>
    <xf numFmtId="164" fontId="9" fillId="9" borderId="5" xfId="4" applyNumberFormat="1" applyFont="1" applyFill="1" applyBorder="1" applyAlignment="1">
      <alignment horizontal="center"/>
    </xf>
    <xf numFmtId="168" fontId="0" fillId="0" borderId="68" xfId="1" applyNumberFormat="1" applyFont="1" applyBorder="1" applyAlignment="1">
      <alignment horizontal="center" vertical="center"/>
    </xf>
    <xf numFmtId="1" fontId="0" fillId="0" borderId="0" xfId="0" applyNumberFormat="1"/>
    <xf numFmtId="0" fontId="11" fillId="0" borderId="20" xfId="0" applyFont="1" applyBorder="1"/>
    <xf numFmtId="0" fontId="11" fillId="0" borderId="69" xfId="0" applyFont="1" applyBorder="1" applyAlignment="1">
      <alignment horizontal="left" vertical="center" wrapText="1"/>
    </xf>
    <xf numFmtId="0" fontId="11" fillId="0" borderId="42" xfId="0" applyFont="1" applyBorder="1" applyAlignment="1">
      <alignment horizontal="left" vertical="center" wrapText="1"/>
    </xf>
    <xf numFmtId="164" fontId="0" fillId="0" borderId="0" xfId="4" applyNumberFormat="1" applyFont="1" applyFill="1" applyBorder="1" applyAlignment="1">
      <alignment horizontal="center" vertical="center"/>
    </xf>
    <xf numFmtId="169" fontId="0" fillId="0" borderId="0" xfId="4" applyNumberFormat="1" applyFont="1" applyFill="1" applyBorder="1" applyAlignment="1">
      <alignment horizontal="center" vertical="center"/>
    </xf>
    <xf numFmtId="165" fontId="3" fillId="5" borderId="23" xfId="0" applyNumberFormat="1" applyFont="1" applyFill="1" applyBorder="1" applyAlignment="1">
      <alignment horizontal="center"/>
    </xf>
    <xf numFmtId="168" fontId="3" fillId="5" borderId="25" xfId="1" applyNumberFormat="1" applyFont="1" applyFill="1" applyBorder="1" applyAlignment="1">
      <alignment horizontal="center"/>
    </xf>
    <xf numFmtId="0" fontId="0" fillId="0" borderId="55" xfId="0" applyBorder="1" applyAlignment="1">
      <alignment horizontal="left" vertical="center" wrapText="1"/>
    </xf>
    <xf numFmtId="0" fontId="16" fillId="0" borderId="0" xfId="7" applyFill="1"/>
    <xf numFmtId="0" fontId="0" fillId="0" borderId="10" xfId="0" applyBorder="1"/>
    <xf numFmtId="0" fontId="8" fillId="4" borderId="33"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3" fillId="5" borderId="49" xfId="4" applyNumberFormat="1" applyFont="1" applyFill="1" applyBorder="1" applyAlignment="1">
      <alignment horizontal="center"/>
    </xf>
    <xf numFmtId="164" fontId="3" fillId="5" borderId="49" xfId="4" applyNumberFormat="1" applyFont="1" applyFill="1" applyBorder="1" applyAlignment="1">
      <alignment horizontal="center"/>
    </xf>
    <xf numFmtId="170" fontId="0" fillId="0" borderId="13" xfId="4" applyNumberFormat="1" applyFont="1" applyFill="1" applyBorder="1" applyAlignment="1">
      <alignment horizontal="center"/>
    </xf>
    <xf numFmtId="170" fontId="3" fillId="9" borderId="5" xfId="4" applyNumberFormat="1" applyFont="1" applyFill="1" applyBorder="1" applyAlignment="1">
      <alignment horizontal="center"/>
    </xf>
    <xf numFmtId="170" fontId="3" fillId="5" borderId="54" xfId="4" applyNumberFormat="1" applyFont="1" applyFill="1" applyBorder="1" applyAlignment="1">
      <alignment horizontal="center"/>
    </xf>
    <xf numFmtId="170" fontId="0" fillId="4" borderId="13" xfId="4" applyNumberFormat="1" applyFont="1" applyFill="1" applyBorder="1" applyAlignment="1">
      <alignment horizontal="center" vertical="center" wrapText="1"/>
    </xf>
    <xf numFmtId="170" fontId="3" fillId="5" borderId="24" xfId="4" applyNumberFormat="1" applyFont="1" applyFill="1" applyBorder="1" applyAlignment="1">
      <alignment horizontal="center"/>
    </xf>
    <xf numFmtId="170" fontId="0" fillId="4" borderId="49" xfId="4" applyNumberFormat="1" applyFont="1" applyFill="1" applyBorder="1" applyAlignment="1">
      <alignment horizontal="center" vertical="center" wrapText="1"/>
    </xf>
    <xf numFmtId="170" fontId="3" fillId="5" borderId="5" xfId="4" applyNumberFormat="1" applyFont="1" applyFill="1" applyBorder="1" applyAlignment="1">
      <alignment horizontal="center"/>
    </xf>
    <xf numFmtId="170" fontId="3" fillId="5" borderId="49" xfId="4" applyNumberFormat="1" applyFont="1" applyFill="1" applyBorder="1" applyAlignment="1">
      <alignment horizontal="center"/>
    </xf>
    <xf numFmtId="165" fontId="3" fillId="9" borderId="24" xfId="2" applyNumberFormat="1" applyFont="1" applyFill="1" applyBorder="1" applyAlignment="1">
      <alignment horizontal="center" vertical="center"/>
    </xf>
    <xf numFmtId="165" fontId="3" fillId="5" borderId="45" xfId="0" applyNumberFormat="1" applyFont="1" applyFill="1" applyBorder="1" applyAlignment="1">
      <alignment horizontal="center"/>
    </xf>
    <xf numFmtId="168" fontId="3" fillId="5" borderId="70" xfId="1" applyNumberFormat="1" applyFont="1" applyFill="1" applyBorder="1" applyAlignment="1">
      <alignment horizontal="center"/>
    </xf>
    <xf numFmtId="165" fontId="0" fillId="4" borderId="31" xfId="0" applyNumberFormat="1" applyFill="1" applyBorder="1" applyAlignment="1">
      <alignment horizontal="center" vertical="center" wrapText="1"/>
    </xf>
    <xf numFmtId="165" fontId="0" fillId="4" borderId="62" xfId="0" applyNumberFormat="1" applyFill="1" applyBorder="1" applyAlignment="1">
      <alignment horizontal="center" vertical="center" wrapText="1"/>
    </xf>
    <xf numFmtId="168" fontId="0" fillId="4" borderId="67" xfId="1" applyNumberFormat="1" applyFont="1" applyFill="1" applyBorder="1" applyAlignment="1">
      <alignment horizontal="center" vertical="center" wrapText="1"/>
    </xf>
    <xf numFmtId="165" fontId="0" fillId="0" borderId="49" xfId="2" applyNumberFormat="1" applyFont="1" applyFill="1" applyBorder="1" applyAlignment="1">
      <alignment horizontal="center" vertical="center"/>
    </xf>
    <xf numFmtId="165" fontId="0" fillId="0" borderId="15" xfId="2" applyNumberFormat="1" applyFont="1" applyFill="1" applyBorder="1" applyAlignment="1">
      <alignment horizontal="center" vertical="center"/>
    </xf>
    <xf numFmtId="164" fontId="0" fillId="0" borderId="18" xfId="4" applyNumberFormat="1" applyFont="1" applyFill="1" applyBorder="1" applyAlignment="1">
      <alignment horizontal="center" vertical="center"/>
    </xf>
    <xf numFmtId="168" fontId="0" fillId="0" borderId="38" xfId="1" applyNumberFormat="1" applyFont="1" applyFill="1" applyBorder="1" applyAlignment="1">
      <alignment horizontal="center" vertical="center"/>
    </xf>
    <xf numFmtId="168" fontId="0" fillId="0" borderId="21" xfId="1" applyNumberFormat="1" applyFont="1" applyFill="1" applyBorder="1" applyAlignment="1">
      <alignment horizontal="center" vertical="center"/>
    </xf>
    <xf numFmtId="168" fontId="0" fillId="0" borderId="15" xfId="1" applyNumberFormat="1" applyFont="1" applyFill="1" applyBorder="1" applyAlignment="1">
      <alignment horizontal="center" vertical="center"/>
    </xf>
    <xf numFmtId="164" fontId="3" fillId="5" borderId="44" xfId="4" applyNumberFormat="1" applyFont="1" applyFill="1" applyBorder="1" applyAlignment="1">
      <alignment horizontal="center"/>
    </xf>
    <xf numFmtId="164" fontId="3" fillId="5" borderId="38" xfId="4" applyNumberFormat="1" applyFont="1" applyFill="1" applyBorder="1" applyAlignment="1">
      <alignment horizontal="center"/>
    </xf>
    <xf numFmtId="164" fontId="0" fillId="4" borderId="17" xfId="4" applyNumberFormat="1" applyFont="1" applyFill="1" applyBorder="1" applyAlignment="1">
      <alignment horizontal="center" vertical="center" wrapText="1"/>
    </xf>
    <xf numFmtId="164" fontId="0" fillId="4" borderId="18" xfId="4" applyNumberFormat="1" applyFont="1" applyFill="1" applyBorder="1" applyAlignment="1">
      <alignment horizontal="center" vertical="center" wrapText="1"/>
    </xf>
    <xf numFmtId="168" fontId="0" fillId="4" borderId="18" xfId="1" applyNumberFormat="1" applyFont="1" applyFill="1" applyBorder="1" applyAlignment="1">
      <alignment horizontal="center" vertical="center" wrapText="1"/>
    </xf>
    <xf numFmtId="170" fontId="0" fillId="4" borderId="18" xfId="4" applyNumberFormat="1" applyFont="1" applyFill="1" applyBorder="1" applyAlignment="1">
      <alignment horizontal="center" vertical="center" wrapText="1"/>
    </xf>
    <xf numFmtId="164" fontId="0" fillId="0" borderId="3" xfId="4" applyNumberFormat="1" applyFont="1" applyBorder="1" applyAlignment="1">
      <alignment horizontal="center"/>
    </xf>
    <xf numFmtId="164" fontId="0" fillId="0" borderId="13" xfId="4" applyNumberFormat="1" applyFont="1" applyBorder="1" applyAlignment="1">
      <alignment horizontal="center"/>
    </xf>
    <xf numFmtId="164" fontId="3" fillId="9" borderId="60" xfId="4" applyNumberFormat="1" applyFont="1" applyFill="1" applyBorder="1" applyAlignment="1">
      <alignment horizontal="center" vertical="center"/>
    </xf>
    <xf numFmtId="164" fontId="3" fillId="9" borderId="54" xfId="4" applyNumberFormat="1" applyFont="1" applyFill="1" applyBorder="1" applyAlignment="1">
      <alignment horizontal="center" vertical="center"/>
    </xf>
    <xf numFmtId="168" fontId="3" fillId="9" borderId="57" xfId="1" applyNumberFormat="1" applyFont="1" applyFill="1" applyBorder="1" applyAlignment="1">
      <alignment horizontal="center" vertical="center"/>
    </xf>
    <xf numFmtId="165" fontId="0" fillId="0" borderId="3" xfId="0" applyNumberFormat="1" applyBorder="1" applyAlignment="1">
      <alignment horizontal="center"/>
    </xf>
    <xf numFmtId="165" fontId="0" fillId="0" borderId="13" xfId="0" applyNumberFormat="1" applyBorder="1" applyAlignment="1">
      <alignment horizontal="center"/>
    </xf>
    <xf numFmtId="168" fontId="0" fillId="0" borderId="14" xfId="1" applyNumberFormat="1" applyFont="1" applyBorder="1" applyAlignment="1">
      <alignment horizontal="center"/>
    </xf>
    <xf numFmtId="0" fontId="0" fillId="0" borderId="68" xfId="0" applyBorder="1"/>
    <xf numFmtId="0" fontId="0" fillId="0" borderId="71" xfId="0" applyBorder="1"/>
    <xf numFmtId="164" fontId="0" fillId="0" borderId="14" xfId="4" applyNumberFormat="1" applyFont="1" applyBorder="1" applyAlignment="1">
      <alignment horizontal="center"/>
    </xf>
    <xf numFmtId="0" fontId="0" fillId="10" borderId="0" xfId="0" applyFill="1"/>
    <xf numFmtId="10" fontId="0" fillId="0" borderId="15" xfId="1" applyNumberFormat="1" applyFont="1" applyBorder="1" applyAlignment="1">
      <alignment horizontal="center" vertical="center"/>
    </xf>
    <xf numFmtId="165" fontId="0" fillId="0" borderId="15" xfId="2" applyNumberFormat="1" applyFont="1" applyBorder="1"/>
    <xf numFmtId="0" fontId="0" fillId="0" borderId="15" xfId="0" applyBorder="1" applyAlignment="1">
      <alignment wrapText="1"/>
    </xf>
    <xf numFmtId="0" fontId="0" fillId="0" borderId="0" xfId="0" applyAlignment="1">
      <alignment wrapText="1"/>
    </xf>
    <xf numFmtId="164" fontId="8" fillId="4" borderId="0" xfId="4" applyNumberFormat="1" applyFont="1" applyFill="1" applyBorder="1" applyAlignment="1">
      <alignment horizontal="center" vertical="center" wrapText="1"/>
    </xf>
    <xf numFmtId="164" fontId="8" fillId="4" borderId="12" xfId="4" applyNumberFormat="1" applyFont="1" applyFill="1" applyBorder="1" applyAlignment="1">
      <alignment horizontal="center" vertical="center" wrapText="1"/>
    </xf>
    <xf numFmtId="164" fontId="8" fillId="4" borderId="11" xfId="4" applyNumberFormat="1" applyFont="1" applyFill="1" applyBorder="1" applyAlignment="1">
      <alignment horizontal="center" vertical="center" wrapText="1"/>
    </xf>
    <xf numFmtId="0" fontId="8" fillId="4" borderId="10" xfId="0" applyFont="1" applyFill="1" applyBorder="1" applyAlignment="1">
      <alignment horizontal="center" vertical="center" wrapText="1"/>
    </xf>
    <xf numFmtId="10" fontId="0" fillId="8" borderId="15" xfId="1" applyNumberFormat="1" applyFont="1" applyFill="1" applyBorder="1" applyAlignment="1">
      <alignment horizontal="center" vertical="center"/>
    </xf>
    <xf numFmtId="165" fontId="0" fillId="8" borderId="15" xfId="2" applyNumberFormat="1" applyFont="1" applyFill="1" applyBorder="1"/>
    <xf numFmtId="0" fontId="0" fillId="8" borderId="15" xfId="0" applyFill="1" applyBorder="1" applyAlignment="1">
      <alignment wrapText="1"/>
    </xf>
    <xf numFmtId="164" fontId="8" fillId="4" borderId="25" xfId="4" applyNumberFormat="1" applyFont="1" applyFill="1" applyBorder="1" applyAlignment="1">
      <alignment horizontal="center" vertical="center" wrapText="1"/>
    </xf>
    <xf numFmtId="9" fontId="0" fillId="8" borderId="15" xfId="1" applyFont="1" applyFill="1" applyBorder="1"/>
    <xf numFmtId="164" fontId="0" fillId="8" borderId="15" xfId="4" applyNumberFormat="1" applyFont="1" applyFill="1" applyBorder="1"/>
    <xf numFmtId="9" fontId="0" fillId="0" borderId="15" xfId="1" applyFont="1" applyBorder="1"/>
    <xf numFmtId="164" fontId="0" fillId="0" borderId="15" xfId="4" applyNumberFormat="1" applyFont="1" applyBorder="1"/>
    <xf numFmtId="0" fontId="0" fillId="0" borderId="15" xfId="0" applyBorder="1"/>
    <xf numFmtId="0" fontId="24" fillId="4" borderId="7" xfId="0" applyFont="1" applyFill="1" applyBorder="1" applyAlignment="1">
      <alignment horizontal="center" vertical="center" wrapText="1"/>
    </xf>
    <xf numFmtId="10" fontId="0" fillId="11" borderId="15" xfId="0" applyNumberFormat="1" applyFill="1" applyBorder="1"/>
    <xf numFmtId="0" fontId="3" fillId="0" borderId="15" xfId="0" applyFont="1" applyBorder="1" applyAlignment="1">
      <alignment wrapText="1"/>
    </xf>
    <xf numFmtId="164" fontId="0" fillId="12" borderId="15" xfId="4" applyNumberFormat="1" applyFont="1" applyFill="1" applyBorder="1" applyAlignment="1">
      <alignment wrapText="1"/>
    </xf>
    <xf numFmtId="0" fontId="0" fillId="12" borderId="0" xfId="0" applyFill="1"/>
    <xf numFmtId="0" fontId="0" fillId="10" borderId="15" xfId="0" applyFill="1" applyBorder="1" applyAlignment="1">
      <alignment wrapText="1"/>
    </xf>
    <xf numFmtId="0" fontId="0" fillId="13" borderId="0" xfId="0" applyFill="1"/>
    <xf numFmtId="0" fontId="26" fillId="13" borderId="15" xfId="0" applyFont="1" applyFill="1" applyBorder="1" applyAlignment="1">
      <alignment wrapText="1"/>
    </xf>
    <xf numFmtId="164" fontId="8" fillId="0" borderId="0" xfId="4" applyNumberFormat="1" applyFont="1" applyFill="1" applyBorder="1" applyAlignment="1">
      <alignment horizontal="center" vertical="center" wrapText="1"/>
    </xf>
    <xf numFmtId="3" fontId="0" fillId="0" borderId="15" xfId="0" applyNumberFormat="1" applyBorder="1"/>
    <xf numFmtId="10" fontId="0" fillId="0" borderId="15" xfId="0" applyNumberFormat="1" applyBorder="1"/>
    <xf numFmtId="3" fontId="0" fillId="12" borderId="15" xfId="0" applyNumberFormat="1" applyFill="1" applyBorder="1" applyAlignment="1">
      <alignment wrapText="1"/>
    </xf>
    <xf numFmtId="3" fontId="11" fillId="14" borderId="15" xfId="0" applyNumberFormat="1" applyFont="1" applyFill="1" applyBorder="1" applyAlignment="1">
      <alignment wrapText="1"/>
    </xf>
    <xf numFmtId="0" fontId="0" fillId="14" borderId="0" xfId="0" applyFill="1"/>
    <xf numFmtId="3" fontId="0" fillId="14" borderId="15" xfId="0" applyNumberFormat="1" applyFill="1" applyBorder="1" applyAlignment="1">
      <alignment wrapText="1"/>
    </xf>
    <xf numFmtId="0" fontId="11" fillId="11" borderId="15" xfId="0" applyFont="1" applyFill="1" applyBorder="1" applyAlignment="1">
      <alignment wrapText="1"/>
    </xf>
    <xf numFmtId="0" fontId="11" fillId="11" borderId="15" xfId="0" applyFont="1" applyFill="1" applyBorder="1"/>
    <xf numFmtId="9" fontId="0" fillId="0" borderId="15" xfId="1" applyFont="1" applyBorder="1" applyAlignment="1">
      <alignment wrapText="1"/>
    </xf>
    <xf numFmtId="9" fontId="0" fillId="0" borderId="15" xfId="0" applyNumberFormat="1" applyBorder="1"/>
    <xf numFmtId="164" fontId="0" fillId="0" borderId="0" xfId="0" applyNumberFormat="1"/>
    <xf numFmtId="0" fontId="3" fillId="0" borderId="0" xfId="0" applyFont="1"/>
    <xf numFmtId="0" fontId="3" fillId="0" borderId="44" xfId="0" applyFont="1" applyBorder="1" applyAlignment="1">
      <alignment horizontal="center" wrapText="1"/>
    </xf>
    <xf numFmtId="0" fontId="3" fillId="0" borderId="38" xfId="0" applyFont="1" applyBorder="1" applyAlignment="1">
      <alignment horizontal="center" wrapText="1"/>
    </xf>
    <xf numFmtId="0" fontId="3" fillId="0" borderId="1" xfId="0" applyFont="1" applyBorder="1" applyAlignment="1">
      <alignment horizontal="center" wrapText="1"/>
    </xf>
    <xf numFmtId="0" fontId="3" fillId="15" borderId="0" xfId="0" applyFont="1" applyFill="1"/>
    <xf numFmtId="0" fontId="0" fillId="15" borderId="0" xfId="0" applyFill="1"/>
    <xf numFmtId="0" fontId="0" fillId="15" borderId="52" xfId="0" applyFill="1" applyBorder="1"/>
    <xf numFmtId="0" fontId="0" fillId="15" borderId="72" xfId="0" applyFill="1" applyBorder="1"/>
    <xf numFmtId="0" fontId="0" fillId="0" borderId="52" xfId="0" applyBorder="1"/>
    <xf numFmtId="0" fontId="0" fillId="0" borderId="72" xfId="0" applyBorder="1"/>
    <xf numFmtId="0" fontId="3" fillId="0" borderId="21" xfId="0" applyFont="1" applyBorder="1"/>
    <xf numFmtId="0" fontId="3" fillId="0" borderId="22" xfId="0" applyFont="1" applyBorder="1"/>
    <xf numFmtId="0" fontId="0" fillId="0" borderId="59" xfId="0" applyBorder="1"/>
    <xf numFmtId="0" fontId="3" fillId="0" borderId="72" xfId="0" applyFont="1" applyBorder="1"/>
    <xf numFmtId="0" fontId="3" fillId="0" borderId="70" xfId="0" applyFont="1" applyBorder="1"/>
    <xf numFmtId="0" fontId="31" fillId="0" borderId="0" xfId="10" applyFont="1"/>
    <xf numFmtId="0" fontId="32" fillId="0" borderId="0" xfId="10" applyFont="1"/>
    <xf numFmtId="0" fontId="30" fillId="0" borderId="0" xfId="0" applyFont="1"/>
    <xf numFmtId="164" fontId="8" fillId="4" borderId="0" xfId="4" applyNumberFormat="1" applyFont="1" applyFill="1" applyAlignment="1">
      <alignment horizontal="center" vertical="center" wrapText="1"/>
    </xf>
    <xf numFmtId="164" fontId="0" fillId="0" borderId="15" xfId="0" applyNumberFormat="1" applyBorder="1"/>
    <xf numFmtId="164" fontId="0" fillId="10" borderId="15" xfId="4" applyNumberFormat="1" applyFont="1" applyFill="1" applyBorder="1"/>
    <xf numFmtId="0" fontId="8" fillId="0" borderId="0" xfId="0" applyFont="1" applyAlignment="1">
      <alignment horizontal="center" vertical="center" wrapText="1"/>
    </xf>
    <xf numFmtId="164" fontId="8" fillId="0" borderId="0" xfId="4" applyNumberFormat="1" applyFont="1" applyAlignment="1">
      <alignment horizontal="center" vertical="center" wrapText="1"/>
    </xf>
    <xf numFmtId="10" fontId="0" fillId="0" borderId="0" xfId="1" applyNumberFormat="1" applyFont="1" applyAlignment="1">
      <alignment horizontal="center" vertical="center"/>
    </xf>
    <xf numFmtId="0" fontId="33" fillId="0" borderId="0" xfId="10" applyFont="1"/>
    <xf numFmtId="164" fontId="3" fillId="0" borderId="0" xfId="4" quotePrefix="1" applyNumberFormat="1" applyFont="1" applyFill="1" applyBorder="1" applyAlignment="1"/>
    <xf numFmtId="0" fontId="31" fillId="0" borderId="0" xfId="10"/>
    <xf numFmtId="165" fontId="0" fillId="0" borderId="0" xfId="0" applyNumberFormat="1"/>
    <xf numFmtId="164" fontId="3" fillId="0" borderId="0" xfId="4" applyNumberFormat="1" applyFont="1" applyFill="1" applyBorder="1"/>
    <xf numFmtId="0" fontId="34" fillId="0" borderId="0" xfId="0" applyFont="1"/>
    <xf numFmtId="0" fontId="35" fillId="0" borderId="0" xfId="0" applyFont="1"/>
    <xf numFmtId="165" fontId="3" fillId="0" borderId="0" xfId="2" applyNumberFormat="1" applyFont="1" applyFill="1" applyBorder="1"/>
    <xf numFmtId="165" fontId="34" fillId="0" borderId="0" xfId="2" applyNumberFormat="1" applyFont="1" applyFill="1" applyBorder="1" applyAlignment="1"/>
    <xf numFmtId="164" fontId="17" fillId="0" borderId="15" xfId="4" applyNumberFormat="1" applyFont="1" applyFill="1" applyBorder="1" applyAlignment="1">
      <alignment horizontal="center"/>
    </xf>
    <xf numFmtId="0" fontId="39" fillId="4" borderId="32" xfId="0" applyFont="1" applyFill="1" applyBorder="1" applyAlignment="1">
      <alignment horizontal="center" vertical="center" wrapText="1"/>
    </xf>
    <xf numFmtId="0" fontId="39" fillId="7" borderId="31" xfId="0" applyFont="1" applyFill="1" applyBorder="1" applyAlignment="1">
      <alignment horizontal="center" vertical="center" wrapText="1"/>
    </xf>
    <xf numFmtId="0" fontId="39" fillId="7" borderId="67" xfId="0" applyFont="1" applyFill="1" applyBorder="1" applyAlignment="1">
      <alignment horizontal="center" vertical="center" wrapText="1"/>
    </xf>
    <xf numFmtId="0" fontId="39" fillId="4" borderId="31" xfId="0" applyFont="1" applyFill="1" applyBorder="1" applyAlignment="1">
      <alignment horizontal="center" vertical="center" wrapText="1"/>
    </xf>
    <xf numFmtId="0" fontId="18" fillId="0" borderId="2" xfId="0" applyFont="1" applyBorder="1" applyAlignment="1">
      <alignment horizontal="left" vertical="center" wrapText="1"/>
    </xf>
    <xf numFmtId="0" fontId="18" fillId="0" borderId="43" xfId="0" applyFont="1" applyBorder="1" applyAlignment="1">
      <alignment vertical="center" wrapText="1"/>
    </xf>
    <xf numFmtId="0" fontId="18" fillId="0" borderId="43" xfId="0" applyFont="1" applyBorder="1"/>
    <xf numFmtId="0" fontId="18" fillId="0" borderId="69" xfId="0" applyFont="1" applyBorder="1" applyAlignment="1">
      <alignment horizontal="left" vertical="center" wrapText="1"/>
    </xf>
    <xf numFmtId="0" fontId="18" fillId="0" borderId="73" xfId="0" applyFont="1" applyBorder="1" applyAlignment="1">
      <alignment horizontal="left" vertical="center" wrapText="1"/>
    </xf>
    <xf numFmtId="0" fontId="18" fillId="0" borderId="42" xfId="0" applyFont="1" applyBorder="1" applyAlignment="1">
      <alignment horizontal="left" vertical="center" wrapText="1"/>
    </xf>
    <xf numFmtId="164" fontId="18" fillId="0" borderId="31" xfId="4" applyNumberFormat="1" applyFont="1" applyFill="1" applyBorder="1" applyAlignment="1">
      <alignment horizontal="center" vertical="center"/>
    </xf>
    <xf numFmtId="0" fontId="18" fillId="4" borderId="42" xfId="0" applyFont="1" applyFill="1" applyBorder="1" applyAlignment="1">
      <alignment vertical="center" wrapText="1"/>
    </xf>
    <xf numFmtId="0" fontId="18" fillId="4" borderId="31" xfId="0" applyFont="1" applyFill="1" applyBorder="1" applyAlignment="1">
      <alignment vertical="center" wrapText="1"/>
    </xf>
    <xf numFmtId="0" fontId="18" fillId="4" borderId="67" xfId="0" applyFont="1" applyFill="1" applyBorder="1" applyAlignment="1">
      <alignment vertical="center" wrapText="1"/>
    </xf>
    <xf numFmtId="44" fontId="18" fillId="4" borderId="31" xfId="2" applyFont="1" applyFill="1" applyBorder="1" applyAlignment="1">
      <alignment vertical="center" wrapText="1"/>
    </xf>
    <xf numFmtId="44" fontId="18" fillId="4" borderId="67" xfId="2" applyFont="1" applyFill="1" applyBorder="1" applyAlignment="1">
      <alignment vertical="center" wrapText="1"/>
    </xf>
    <xf numFmtId="0" fontId="18" fillId="6" borderId="69" xfId="0" applyFont="1" applyFill="1" applyBorder="1" applyAlignment="1">
      <alignment horizontal="left" vertical="center" wrapText="1"/>
    </xf>
    <xf numFmtId="0" fontId="18" fillId="6" borderId="73" xfId="0" applyFont="1" applyFill="1" applyBorder="1" applyAlignment="1">
      <alignment horizontal="left" vertical="center" wrapText="1"/>
    </xf>
    <xf numFmtId="0" fontId="18" fillId="4" borderId="3" xfId="0" applyFont="1" applyFill="1" applyBorder="1" applyAlignment="1">
      <alignment vertical="center" wrapText="1"/>
    </xf>
    <xf numFmtId="0" fontId="18" fillId="4" borderId="13" xfId="0" applyFont="1" applyFill="1" applyBorder="1" applyAlignment="1">
      <alignment vertical="center" wrapText="1"/>
    </xf>
    <xf numFmtId="0" fontId="18" fillId="4" borderId="3" xfId="0" applyFont="1" applyFill="1" applyBorder="1" applyAlignment="1">
      <alignment horizontal="center" vertical="center" wrapText="1"/>
    </xf>
    <xf numFmtId="0" fontId="18" fillId="4" borderId="28" xfId="0" applyFont="1" applyFill="1" applyBorder="1" applyAlignment="1">
      <alignment horizontal="center" vertical="center" wrapText="1"/>
    </xf>
    <xf numFmtId="44" fontId="18" fillId="4" borderId="3" xfId="2" applyFont="1" applyFill="1" applyBorder="1" applyAlignment="1">
      <alignment horizontal="center" vertical="center" wrapText="1"/>
    </xf>
    <xf numFmtId="44" fontId="18" fillId="4" borderId="14" xfId="2" applyFont="1" applyFill="1" applyBorder="1" applyAlignment="1">
      <alignment horizontal="center" vertical="center" wrapText="1"/>
    </xf>
    <xf numFmtId="0" fontId="18" fillId="0" borderId="17" xfId="0" applyFont="1" applyBorder="1"/>
    <xf numFmtId="0" fontId="18" fillId="0" borderId="18" xfId="0" applyFont="1" applyBorder="1"/>
    <xf numFmtId="0" fontId="18" fillId="0" borderId="17" xfId="0" applyFont="1" applyBorder="1" applyAlignment="1">
      <alignment horizontal="center" vertical="center"/>
    </xf>
    <xf numFmtId="0" fontId="18" fillId="0" borderId="68" xfId="0" applyFont="1" applyBorder="1" applyAlignment="1">
      <alignment horizontal="center" vertical="center"/>
    </xf>
    <xf numFmtId="44" fontId="18" fillId="0" borderId="17" xfId="2" applyFont="1" applyBorder="1" applyAlignment="1">
      <alignment horizontal="center" vertical="center"/>
    </xf>
    <xf numFmtId="44" fontId="18" fillId="0" borderId="19" xfId="2" applyFont="1" applyBorder="1" applyAlignment="1">
      <alignment horizontal="center" vertical="center"/>
    </xf>
    <xf numFmtId="170" fontId="18" fillId="4" borderId="31" xfId="0" applyNumberFormat="1" applyFont="1" applyFill="1" applyBorder="1" applyAlignment="1">
      <alignment vertical="center" wrapText="1"/>
    </xf>
    <xf numFmtId="170" fontId="18" fillId="4" borderId="67" xfId="0" applyNumberFormat="1" applyFont="1" applyFill="1" applyBorder="1" applyAlignment="1">
      <alignment vertical="center" wrapText="1"/>
    </xf>
    <xf numFmtId="170" fontId="18" fillId="0" borderId="17" xfId="0" applyNumberFormat="1" applyFont="1" applyBorder="1" applyAlignment="1">
      <alignment horizontal="center" vertical="center"/>
    </xf>
    <xf numFmtId="170" fontId="18" fillId="4" borderId="3" xfId="0" applyNumberFormat="1" applyFont="1" applyFill="1" applyBorder="1" applyAlignment="1">
      <alignment horizontal="center" vertical="center" wrapText="1"/>
    </xf>
    <xf numFmtId="170" fontId="18" fillId="4" borderId="14" xfId="0" applyNumberFormat="1" applyFont="1" applyFill="1" applyBorder="1" applyAlignment="1">
      <alignment horizontal="center" vertical="center" wrapText="1"/>
    </xf>
    <xf numFmtId="170" fontId="18" fillId="0" borderId="19" xfId="4" applyNumberFormat="1" applyFont="1" applyFill="1" applyBorder="1" applyAlignment="1">
      <alignment horizontal="center" vertical="center"/>
    </xf>
    <xf numFmtId="0" fontId="14" fillId="0" borderId="13" xfId="0" applyFont="1" applyBorder="1" applyAlignment="1">
      <alignment horizontal="center"/>
    </xf>
    <xf numFmtId="10" fontId="14" fillId="0" borderId="14" xfId="0" applyNumberFormat="1" applyFont="1" applyBorder="1" applyAlignment="1">
      <alignment horizontal="center"/>
    </xf>
    <xf numFmtId="3" fontId="14" fillId="0" borderId="18" xfId="0" applyNumberFormat="1" applyFont="1" applyBorder="1" applyAlignment="1">
      <alignment horizontal="center"/>
    </xf>
    <xf numFmtId="10" fontId="14" fillId="0" borderId="19" xfId="0" applyNumberFormat="1" applyFont="1" applyBorder="1" applyAlignment="1">
      <alignment horizontal="center"/>
    </xf>
    <xf numFmtId="0" fontId="14" fillId="0" borderId="18" xfId="0" applyFont="1" applyBorder="1" applyAlignment="1">
      <alignment horizontal="center"/>
    </xf>
    <xf numFmtId="0" fontId="14" fillId="0" borderId="19" xfId="0" applyFont="1" applyBorder="1" applyAlignment="1">
      <alignment horizontal="center"/>
    </xf>
    <xf numFmtId="3" fontId="14" fillId="0" borderId="15" xfId="0" applyNumberFormat="1" applyFont="1" applyBorder="1" applyAlignment="1">
      <alignment horizontal="center"/>
    </xf>
    <xf numFmtId="3" fontId="14" fillId="0" borderId="5" xfId="0" applyNumberFormat="1" applyFont="1" applyBorder="1" applyAlignment="1">
      <alignment horizontal="center"/>
    </xf>
    <xf numFmtId="10" fontId="14" fillId="0" borderId="57" xfId="0" applyNumberFormat="1" applyFont="1" applyBorder="1" applyAlignment="1">
      <alignment horizontal="center"/>
    </xf>
    <xf numFmtId="168" fontId="0" fillId="0" borderId="22" xfId="1" applyNumberFormat="1" applyFont="1" applyFill="1" applyBorder="1" applyAlignment="1">
      <alignment horizontal="center" vertical="center"/>
    </xf>
    <xf numFmtId="168" fontId="0" fillId="0" borderId="56" xfId="1" applyNumberFormat="1" applyFont="1" applyFill="1" applyBorder="1" applyAlignment="1">
      <alignment horizontal="center" vertical="center"/>
    </xf>
    <xf numFmtId="168" fontId="0" fillId="0" borderId="67" xfId="1" applyNumberFormat="1" applyFont="1" applyFill="1" applyBorder="1" applyAlignment="1">
      <alignment horizontal="center" vertical="center"/>
    </xf>
    <xf numFmtId="168" fontId="0" fillId="0" borderId="63" xfId="1" applyNumberFormat="1" applyFont="1" applyFill="1" applyBorder="1" applyAlignment="1">
      <alignment horizontal="center" vertical="center"/>
    </xf>
    <xf numFmtId="165" fontId="0" fillId="0" borderId="13" xfId="0" applyNumberFormat="1" applyBorder="1" applyAlignment="1">
      <alignment horizontal="center" vertical="center"/>
    </xf>
    <xf numFmtId="165" fontId="0" fillId="0" borderId="15" xfId="0" applyNumberFormat="1" applyBorder="1" applyAlignment="1">
      <alignment horizontal="center" vertical="center"/>
    </xf>
    <xf numFmtId="168" fontId="0" fillId="0" borderId="19" xfId="1" applyNumberFormat="1" applyFont="1" applyFill="1" applyBorder="1" applyAlignment="1">
      <alignment horizontal="center" vertical="center"/>
    </xf>
    <xf numFmtId="168" fontId="0" fillId="0" borderId="6" xfId="1" applyNumberFormat="1" applyFont="1" applyFill="1" applyBorder="1" applyAlignment="1">
      <alignment horizontal="center" vertical="center"/>
    </xf>
    <xf numFmtId="0" fontId="21" fillId="0" borderId="6" xfId="0" applyFont="1" applyBorder="1" applyAlignment="1">
      <alignment horizontal="center" vertical="center"/>
    </xf>
    <xf numFmtId="0" fontId="41" fillId="7" borderId="38" xfId="0" applyFont="1" applyFill="1" applyBorder="1" applyAlignment="1">
      <alignment horizontal="center" vertical="center" wrapText="1"/>
    </xf>
    <xf numFmtId="0" fontId="41" fillId="7" borderId="52" xfId="0" applyFont="1" applyFill="1" applyBorder="1" applyAlignment="1">
      <alignment horizontal="center" vertical="center" wrapText="1"/>
    </xf>
    <xf numFmtId="0" fontId="41" fillId="7" borderId="0" xfId="0" applyFont="1" applyFill="1" applyAlignment="1">
      <alignment horizontal="center" vertical="center" wrapText="1"/>
    </xf>
    <xf numFmtId="0" fontId="41" fillId="4" borderId="31" xfId="0" applyFont="1" applyFill="1" applyBorder="1" applyAlignment="1">
      <alignment horizontal="center" vertical="center" wrapText="1"/>
    </xf>
    <xf numFmtId="0" fontId="42" fillId="4" borderId="67" xfId="0" applyFont="1" applyFill="1" applyBorder="1" applyAlignment="1">
      <alignment horizontal="center" vertical="center" wrapText="1"/>
    </xf>
    <xf numFmtId="0" fontId="42" fillId="7" borderId="31" xfId="0" applyFont="1" applyFill="1" applyBorder="1" applyAlignment="1">
      <alignment horizontal="center" vertical="center" wrapText="1"/>
    </xf>
    <xf numFmtId="0" fontId="42" fillId="7" borderId="67" xfId="0" applyFont="1" applyFill="1" applyBorder="1" applyAlignment="1">
      <alignment horizontal="center" vertical="center" wrapText="1"/>
    </xf>
    <xf numFmtId="0" fontId="42" fillId="4" borderId="31" xfId="0" applyFont="1" applyFill="1" applyBorder="1" applyAlignment="1">
      <alignment horizontal="center" vertical="center" wrapText="1"/>
    </xf>
    <xf numFmtId="0" fontId="41" fillId="7" borderId="45" xfId="0" applyFont="1" applyFill="1" applyBorder="1" applyAlignment="1">
      <alignment horizontal="center" vertical="center" wrapText="1"/>
    </xf>
    <xf numFmtId="0" fontId="41" fillId="7" borderId="39" xfId="0" applyFont="1" applyFill="1" applyBorder="1" applyAlignment="1">
      <alignment horizontal="center" vertical="center" wrapText="1"/>
    </xf>
    <xf numFmtId="0" fontId="37" fillId="5" borderId="48" xfId="0" applyFont="1" applyFill="1" applyBorder="1"/>
    <xf numFmtId="0" fontId="37" fillId="5" borderId="44" xfId="0" applyFont="1" applyFill="1" applyBorder="1"/>
    <xf numFmtId="0" fontId="37" fillId="5" borderId="44" xfId="0" applyFont="1" applyFill="1" applyBorder="1" applyAlignment="1">
      <alignment horizontal="center" vertical="center" wrapText="1"/>
    </xf>
    <xf numFmtId="0" fontId="37" fillId="5" borderId="58" xfId="0" applyFont="1" applyFill="1" applyBorder="1" applyAlignment="1">
      <alignment horizontal="center" vertical="center" wrapText="1"/>
    </xf>
    <xf numFmtId="0" fontId="21" fillId="0" borderId="41" xfId="0" applyFont="1" applyBorder="1" applyAlignment="1">
      <alignment horizontal="left" vertical="center" wrapText="1"/>
    </xf>
    <xf numFmtId="0" fontId="21" fillId="0" borderId="2" xfId="0" applyFont="1" applyBorder="1" applyAlignment="1">
      <alignment horizontal="left" vertical="center" wrapText="1"/>
    </xf>
    <xf numFmtId="0" fontId="21" fillId="0" borderId="43" xfId="0" applyFont="1" applyBorder="1" applyAlignment="1">
      <alignment horizontal="left" vertical="center" wrapText="1"/>
    </xf>
    <xf numFmtId="0" fontId="21" fillId="0" borderId="9" xfId="0" applyFont="1" applyBorder="1" applyAlignment="1">
      <alignment vertical="center" wrapText="1"/>
    </xf>
    <xf numFmtId="0" fontId="37" fillId="5" borderId="60" xfId="0" applyFont="1" applyFill="1" applyBorder="1"/>
    <xf numFmtId="0" fontId="37" fillId="5" borderId="74" xfId="0" applyFont="1" applyFill="1" applyBorder="1"/>
    <xf numFmtId="0" fontId="21" fillId="4" borderId="40" xfId="0" applyFont="1" applyFill="1" applyBorder="1" applyAlignment="1">
      <alignment vertical="center" wrapText="1"/>
    </xf>
    <xf numFmtId="0" fontId="21" fillId="4" borderId="75" xfId="0" applyFont="1" applyFill="1" applyBorder="1" applyAlignment="1">
      <alignment vertical="center" wrapText="1"/>
    </xf>
    <xf numFmtId="164" fontId="21" fillId="4" borderId="40" xfId="4" applyNumberFormat="1" applyFont="1" applyFill="1" applyBorder="1" applyAlignment="1">
      <alignment vertical="center" wrapText="1"/>
    </xf>
    <xf numFmtId="164" fontId="21" fillId="4" borderId="58" xfId="4" applyNumberFormat="1" applyFont="1" applyFill="1" applyBorder="1" applyAlignment="1">
      <alignment vertical="center" wrapText="1"/>
    </xf>
    <xf numFmtId="165" fontId="21" fillId="4" borderId="40" xfId="2" applyNumberFormat="1" applyFont="1" applyFill="1" applyBorder="1" applyAlignment="1">
      <alignment vertical="center" wrapText="1"/>
    </xf>
    <xf numFmtId="165" fontId="21" fillId="4" borderId="58" xfId="2" applyNumberFormat="1" applyFont="1" applyFill="1" applyBorder="1" applyAlignment="1">
      <alignment vertical="center" wrapText="1"/>
    </xf>
    <xf numFmtId="0" fontId="37" fillId="5" borderId="10" xfId="0" applyFont="1" applyFill="1" applyBorder="1"/>
    <xf numFmtId="0" fontId="37" fillId="5" borderId="71" xfId="0" applyFont="1" applyFill="1" applyBorder="1"/>
    <xf numFmtId="164" fontId="37" fillId="5" borderId="10" xfId="4" applyNumberFormat="1" applyFont="1" applyFill="1" applyBorder="1"/>
    <xf numFmtId="165" fontId="37" fillId="5" borderId="10" xfId="2" applyNumberFormat="1" applyFont="1" applyFill="1" applyBorder="1"/>
    <xf numFmtId="165" fontId="37" fillId="5" borderId="12" xfId="2" applyNumberFormat="1" applyFont="1" applyFill="1" applyBorder="1"/>
    <xf numFmtId="164" fontId="37" fillId="5" borderId="12" xfId="4" applyNumberFormat="1" applyFont="1" applyFill="1" applyBorder="1" applyAlignment="1"/>
    <xf numFmtId="0" fontId="21" fillId="0" borderId="31" xfId="0" applyFont="1" applyBorder="1"/>
    <xf numFmtId="0" fontId="21" fillId="0" borderId="32" xfId="0" applyFont="1" applyBorder="1"/>
    <xf numFmtId="0" fontId="21" fillId="4" borderId="3" xfId="0" applyFont="1" applyFill="1" applyBorder="1" applyAlignment="1">
      <alignment vertical="center" wrapText="1"/>
    </xf>
    <xf numFmtId="0" fontId="21" fillId="4" borderId="28" xfId="0" applyFont="1" applyFill="1" applyBorder="1" applyAlignment="1">
      <alignment vertical="center" wrapText="1"/>
    </xf>
    <xf numFmtId="164" fontId="21" fillId="4" borderId="3" xfId="4" applyNumberFormat="1" applyFont="1" applyFill="1" applyBorder="1" applyAlignment="1">
      <alignment vertical="center" wrapText="1"/>
    </xf>
    <xf numFmtId="164" fontId="21" fillId="4" borderId="14" xfId="4" applyNumberFormat="1" applyFont="1" applyFill="1" applyBorder="1" applyAlignment="1">
      <alignment vertical="center" wrapText="1"/>
    </xf>
    <xf numFmtId="165" fontId="21" fillId="4" borderId="3" xfId="2" applyNumberFormat="1" applyFont="1" applyFill="1" applyBorder="1" applyAlignment="1">
      <alignment vertical="center" wrapText="1"/>
    </xf>
    <xf numFmtId="165" fontId="21" fillId="4" borderId="14" xfId="2" applyNumberFormat="1" applyFont="1" applyFill="1" applyBorder="1" applyAlignment="1">
      <alignment vertical="center" wrapText="1"/>
    </xf>
    <xf numFmtId="0" fontId="37" fillId="5" borderId="7" xfId="0" applyFont="1" applyFill="1" applyBorder="1"/>
    <xf numFmtId="0" fontId="37" fillId="5" borderId="30" xfId="0" applyFont="1" applyFill="1" applyBorder="1"/>
    <xf numFmtId="0" fontId="37" fillId="5" borderId="60" xfId="0" applyFont="1" applyFill="1" applyBorder="1" applyAlignment="1">
      <alignment horizontal="center"/>
    </xf>
    <xf numFmtId="0" fontId="37" fillId="5" borderId="57" xfId="0" applyFont="1" applyFill="1" applyBorder="1" applyAlignment="1">
      <alignment horizontal="center"/>
    </xf>
    <xf numFmtId="165" fontId="37" fillId="5" borderId="60" xfId="2" applyNumberFormat="1" applyFont="1" applyFill="1" applyBorder="1" applyAlignment="1">
      <alignment horizontal="center"/>
    </xf>
    <xf numFmtId="165" fontId="37" fillId="5" borderId="57" xfId="2" applyNumberFormat="1" applyFont="1" applyFill="1" applyBorder="1" applyAlignment="1">
      <alignment horizontal="center"/>
    </xf>
    <xf numFmtId="164" fontId="37" fillId="5" borderId="60" xfId="4" applyNumberFormat="1" applyFont="1" applyFill="1" applyBorder="1" applyAlignment="1">
      <alignment horizontal="center"/>
    </xf>
    <xf numFmtId="164" fontId="37" fillId="5" borderId="57" xfId="4" applyNumberFormat="1" applyFont="1" applyFill="1" applyBorder="1" applyAlignment="1">
      <alignment horizontal="center"/>
    </xf>
    <xf numFmtId="0" fontId="21" fillId="4" borderId="58" xfId="0" applyFont="1" applyFill="1" applyBorder="1" applyAlignment="1">
      <alignment vertical="center" wrapText="1"/>
    </xf>
    <xf numFmtId="0" fontId="37" fillId="5" borderId="12" xfId="0" applyFont="1" applyFill="1" applyBorder="1"/>
    <xf numFmtId="0" fontId="21" fillId="0" borderId="31" xfId="0" applyFont="1" applyBorder="1" applyAlignment="1">
      <alignment horizontal="center"/>
    </xf>
    <xf numFmtId="0" fontId="21" fillId="0" borderId="67" xfId="0" applyFont="1" applyBorder="1" applyAlignment="1">
      <alignment horizontal="center"/>
    </xf>
    <xf numFmtId="165" fontId="21" fillId="0" borderId="31" xfId="2" applyNumberFormat="1" applyFont="1" applyBorder="1" applyAlignment="1">
      <alignment horizontal="center"/>
    </xf>
    <xf numFmtId="165" fontId="21" fillId="0" borderId="67" xfId="2" applyNumberFormat="1" applyFont="1" applyBorder="1" applyAlignment="1">
      <alignment horizontal="center"/>
    </xf>
    <xf numFmtId="164" fontId="21" fillId="0" borderId="67" xfId="4" applyNumberFormat="1" applyFont="1" applyFill="1" applyBorder="1" applyAlignment="1">
      <alignment horizontal="center"/>
    </xf>
    <xf numFmtId="164" fontId="21" fillId="0" borderId="31" xfId="4" applyNumberFormat="1" applyFont="1" applyBorder="1" applyAlignment="1">
      <alignment horizontal="center"/>
    </xf>
    <xf numFmtId="0" fontId="21" fillId="4" borderId="14" xfId="0" applyFont="1" applyFill="1" applyBorder="1" applyAlignment="1">
      <alignment vertical="center" wrapText="1"/>
    </xf>
    <xf numFmtId="0" fontId="37" fillId="5" borderId="7" xfId="0" applyFont="1" applyFill="1" applyBorder="1" applyAlignment="1">
      <alignment horizontal="center"/>
    </xf>
    <xf numFmtId="0" fontId="37" fillId="5" borderId="6" xfId="0" applyFont="1" applyFill="1" applyBorder="1" applyAlignment="1">
      <alignment horizontal="center"/>
    </xf>
    <xf numFmtId="165" fontId="37" fillId="5" borderId="7" xfId="2" applyNumberFormat="1" applyFont="1" applyFill="1" applyBorder="1" applyAlignment="1">
      <alignment horizontal="center"/>
    </xf>
    <xf numFmtId="165" fontId="37" fillId="5" borderId="6" xfId="2" applyNumberFormat="1" applyFont="1" applyFill="1" applyBorder="1" applyAlignment="1">
      <alignment horizontal="center"/>
    </xf>
    <xf numFmtId="164" fontId="37" fillId="5" borderId="7" xfId="4" applyNumberFormat="1" applyFont="1" applyFill="1" applyBorder="1" applyAlignment="1">
      <alignment horizontal="center"/>
    </xf>
    <xf numFmtId="164" fontId="37" fillId="5" borderId="74" xfId="4" applyNumberFormat="1" applyFont="1" applyFill="1" applyBorder="1" applyAlignment="1"/>
    <xf numFmtId="164" fontId="37" fillId="11" borderId="60" xfId="4" applyNumberFormat="1" applyFont="1" applyFill="1" applyBorder="1" applyAlignment="1"/>
    <xf numFmtId="164" fontId="37" fillId="11" borderId="57" xfId="4" applyNumberFormat="1" applyFont="1" applyFill="1" applyBorder="1" applyAlignment="1"/>
    <xf numFmtId="0" fontId="18" fillId="0" borderId="0" xfId="0" applyFont="1"/>
    <xf numFmtId="165" fontId="18" fillId="0" borderId="0" xfId="2" applyNumberFormat="1" applyFont="1"/>
    <xf numFmtId="164" fontId="18" fillId="0" borderId="0" xfId="4" applyNumberFormat="1" applyFont="1"/>
    <xf numFmtId="0" fontId="42" fillId="4" borderId="32" xfId="0" applyFont="1" applyFill="1" applyBorder="1" applyAlignment="1">
      <alignment horizontal="center" vertical="center" wrapText="1"/>
    </xf>
    <xf numFmtId="0" fontId="42" fillId="4" borderId="62" xfId="0" applyFont="1" applyFill="1" applyBorder="1" applyAlignment="1">
      <alignment horizontal="center" vertical="center" wrapText="1"/>
    </xf>
    <xf numFmtId="43" fontId="31" fillId="0" borderId="0" xfId="4" applyFont="1" applyAlignment="1">
      <alignment horizontal="center"/>
    </xf>
    <xf numFmtId="165" fontId="20" fillId="0" borderId="0" xfId="8" applyNumberFormat="1" applyFill="1" applyBorder="1" applyAlignment="1">
      <alignment horizontal="left"/>
    </xf>
    <xf numFmtId="165" fontId="0" fillId="0" borderId="0" xfId="2" applyNumberFormat="1" applyFont="1" applyFill="1"/>
    <xf numFmtId="164" fontId="0" fillId="0" borderId="0" xfId="4" applyNumberFormat="1" applyFont="1" applyFill="1"/>
    <xf numFmtId="0" fontId="3" fillId="0" borderId="0" xfId="0" applyFont="1" applyAlignment="1">
      <alignment vertical="center" wrapText="1"/>
    </xf>
    <xf numFmtId="0" fontId="20" fillId="0" borderId="0" xfId="8" applyFill="1"/>
    <xf numFmtId="0" fontId="21" fillId="0" borderId="15" xfId="0" applyFont="1" applyBorder="1" applyAlignment="1">
      <alignment vertical="center" wrapText="1"/>
    </xf>
    <xf numFmtId="0" fontId="21" fillId="17" borderId="15" xfId="10" applyFont="1" applyFill="1" applyBorder="1"/>
    <xf numFmtId="37" fontId="21" fillId="0" borderId="15" xfId="4" applyNumberFormat="1" applyFont="1" applyBorder="1" applyAlignment="1">
      <alignment horizontal="center"/>
    </xf>
    <xf numFmtId="37" fontId="21" fillId="0" borderId="15" xfId="4" applyNumberFormat="1" applyFont="1" applyBorder="1" applyAlignment="1">
      <alignment horizontal="center" vertical="center" wrapText="1"/>
    </xf>
    <xf numFmtId="0" fontId="37" fillId="0" borderId="15" xfId="10" applyFont="1" applyBorder="1"/>
    <xf numFmtId="37" fontId="21" fillId="0" borderId="15" xfId="4" applyNumberFormat="1" applyFont="1" applyBorder="1" applyAlignment="1">
      <alignment horizontal="center" vertical="center"/>
    </xf>
    <xf numFmtId="0" fontId="37" fillId="0" borderId="24" xfId="10" applyFont="1" applyBorder="1" applyAlignment="1">
      <alignment vertical="center"/>
    </xf>
    <xf numFmtId="0" fontId="37" fillId="0" borderId="24" xfId="10" applyFont="1" applyBorder="1" applyAlignment="1">
      <alignment horizontal="center" vertical="center"/>
    </xf>
    <xf numFmtId="43" fontId="37" fillId="0" borderId="24" xfId="4" applyFont="1" applyBorder="1" applyAlignment="1">
      <alignment horizontal="center" vertical="center"/>
    </xf>
    <xf numFmtId="37" fontId="37" fillId="5" borderId="60" xfId="0" applyNumberFormat="1" applyFont="1" applyFill="1" applyBorder="1" applyAlignment="1">
      <alignment horizontal="center"/>
    </xf>
    <xf numFmtId="37" fontId="37" fillId="5" borderId="57" xfId="0" applyNumberFormat="1" applyFont="1" applyFill="1" applyBorder="1" applyAlignment="1">
      <alignment horizontal="center"/>
    </xf>
    <xf numFmtId="38" fontId="37" fillId="5" borderId="7" xfId="0" applyNumberFormat="1" applyFont="1" applyFill="1" applyBorder="1" applyAlignment="1">
      <alignment horizontal="center"/>
    </xf>
    <xf numFmtId="38" fontId="37" fillId="5" borderId="57" xfId="0" applyNumberFormat="1" applyFont="1" applyFill="1" applyBorder="1" applyAlignment="1">
      <alignment horizontal="center"/>
    </xf>
    <xf numFmtId="164" fontId="0" fillId="0" borderId="0" xfId="4" quotePrefix="1" applyNumberFormat="1" applyFont="1" applyFill="1" applyBorder="1"/>
    <xf numFmtId="164" fontId="0" fillId="0" borderId="0" xfId="4" quotePrefix="1" applyNumberFormat="1" applyFont="1"/>
    <xf numFmtId="0" fontId="36" fillId="20" borderId="15" xfId="0" applyFont="1" applyFill="1" applyBorder="1" applyAlignment="1">
      <alignment horizontal="center" vertical="center"/>
    </xf>
    <xf numFmtId="0" fontId="36" fillId="20" borderId="15" xfId="0" applyFont="1" applyFill="1" applyBorder="1" applyAlignment="1">
      <alignment horizontal="center" vertical="center" wrapText="1"/>
    </xf>
    <xf numFmtId="0" fontId="46" fillId="0" borderId="15" xfId="0" applyFont="1" applyBorder="1"/>
    <xf numFmtId="10" fontId="17" fillId="0" borderId="15" xfId="0" applyNumberFormat="1" applyFont="1" applyBorder="1" applyAlignment="1">
      <alignment horizontal="center"/>
    </xf>
    <xf numFmtId="170" fontId="0" fillId="0" borderId="0" xfId="4" applyNumberFormat="1" applyFont="1"/>
    <xf numFmtId="0" fontId="46" fillId="0" borderId="0" xfId="0" applyFont="1"/>
    <xf numFmtId="164" fontId="3" fillId="5" borderId="15" xfId="4" applyNumberFormat="1" applyFont="1" applyFill="1" applyBorder="1" applyAlignment="1">
      <alignment horizontal="center"/>
    </xf>
    <xf numFmtId="164" fontId="0" fillId="4" borderId="15" xfId="4" applyNumberFormat="1" applyFont="1" applyFill="1" applyBorder="1" applyAlignment="1">
      <alignment horizontal="center" vertical="center" wrapText="1"/>
    </xf>
    <xf numFmtId="0" fontId="0" fillId="0" borderId="73" xfId="0" applyBorder="1" applyAlignment="1">
      <alignment horizontal="left" vertical="center" wrapText="1"/>
    </xf>
    <xf numFmtId="164" fontId="3" fillId="5" borderId="18" xfId="4" applyNumberFormat="1" applyFont="1" applyFill="1" applyBorder="1" applyAlignment="1">
      <alignment horizontal="center"/>
    </xf>
    <xf numFmtId="0" fontId="39" fillId="7" borderId="38" xfId="0" applyFont="1" applyFill="1" applyBorder="1" applyAlignment="1">
      <alignment horizontal="center" vertical="center" wrapText="1"/>
    </xf>
    <xf numFmtId="0" fontId="39" fillId="7" borderId="0" xfId="0" applyFont="1" applyFill="1" applyAlignment="1">
      <alignment horizontal="center" vertical="center" wrapText="1"/>
    </xf>
    <xf numFmtId="0" fontId="39" fillId="7" borderId="39" xfId="0" applyFont="1" applyFill="1" applyBorder="1" applyAlignment="1">
      <alignment horizontal="center" vertical="center" wrapText="1"/>
    </xf>
    <xf numFmtId="0" fontId="18" fillId="5" borderId="44" xfId="0" applyFont="1" applyFill="1" applyBorder="1"/>
    <xf numFmtId="0" fontId="18" fillId="5" borderId="46" xfId="0" applyFont="1" applyFill="1" applyBorder="1"/>
    <xf numFmtId="0" fontId="18" fillId="0" borderId="44" xfId="0" applyFont="1" applyBorder="1" applyAlignment="1">
      <alignment horizontal="center" vertical="center"/>
    </xf>
    <xf numFmtId="0" fontId="18" fillId="0" borderId="75" xfId="0" applyFont="1" applyBorder="1" applyAlignment="1">
      <alignment horizontal="center" vertical="center" wrapText="1"/>
    </xf>
    <xf numFmtId="0" fontId="18" fillId="5" borderId="42" xfId="0" applyFont="1" applyFill="1" applyBorder="1"/>
    <xf numFmtId="164" fontId="18" fillId="5" borderId="31" xfId="4" applyNumberFormat="1" applyFont="1" applyFill="1" applyBorder="1" applyAlignment="1">
      <alignment horizontal="center" vertical="center"/>
    </xf>
    <xf numFmtId="44" fontId="18" fillId="5" borderId="31" xfId="2" applyFont="1" applyFill="1" applyBorder="1" applyAlignment="1">
      <alignment horizontal="center" vertical="center"/>
    </xf>
    <xf numFmtId="44" fontId="18" fillId="5" borderId="67" xfId="2" applyFont="1" applyFill="1" applyBorder="1" applyAlignment="1">
      <alignment horizontal="center" vertical="center"/>
    </xf>
    <xf numFmtId="170" fontId="18" fillId="5" borderId="31" xfId="4" applyNumberFormat="1" applyFont="1" applyFill="1" applyBorder="1" applyAlignment="1">
      <alignment horizontal="center" vertical="center"/>
    </xf>
    <xf numFmtId="170" fontId="18" fillId="5" borderId="67" xfId="4" applyNumberFormat="1" applyFont="1" applyFill="1" applyBorder="1" applyAlignment="1">
      <alignment horizontal="center" vertical="center"/>
    </xf>
    <xf numFmtId="0" fontId="18" fillId="5" borderId="51" xfId="0" applyFont="1" applyFill="1" applyBorder="1"/>
    <xf numFmtId="0" fontId="18" fillId="5" borderId="7" xfId="0" applyFont="1" applyFill="1" applyBorder="1" applyAlignment="1">
      <alignment horizontal="center" vertical="center"/>
    </xf>
    <xf numFmtId="0" fontId="18" fillId="5" borderId="30" xfId="0" applyFont="1" applyFill="1" applyBorder="1" applyAlignment="1">
      <alignment horizontal="center" vertical="center"/>
    </xf>
    <xf numFmtId="44" fontId="18" fillId="5" borderId="7" xfId="2" applyFont="1" applyFill="1" applyBorder="1" applyAlignment="1">
      <alignment horizontal="center" vertical="center"/>
    </xf>
    <xf numFmtId="44" fontId="18" fillId="5" borderId="6" xfId="2" applyFont="1" applyFill="1" applyBorder="1" applyAlignment="1">
      <alignment horizontal="center" vertical="center"/>
    </xf>
    <xf numFmtId="170" fontId="18" fillId="5" borderId="7" xfId="0" applyNumberFormat="1" applyFont="1" applyFill="1" applyBorder="1" applyAlignment="1">
      <alignment horizontal="center" vertical="center"/>
    </xf>
    <xf numFmtId="170" fontId="18" fillId="5" borderId="6" xfId="0" applyNumberFormat="1" applyFont="1" applyFill="1" applyBorder="1" applyAlignment="1">
      <alignment horizontal="center" vertical="center"/>
    </xf>
    <xf numFmtId="0" fontId="18" fillId="5" borderId="41" xfId="0" applyFont="1" applyFill="1" applyBorder="1"/>
    <xf numFmtId="0" fontId="18" fillId="5" borderId="77" xfId="0" applyFont="1" applyFill="1" applyBorder="1" applyAlignment="1">
      <alignment horizontal="center" vertical="center"/>
    </xf>
    <xf numFmtId="0" fontId="18" fillId="5" borderId="67" xfId="0" applyFont="1" applyFill="1" applyBorder="1" applyAlignment="1">
      <alignment horizontal="center" vertical="center"/>
    </xf>
    <xf numFmtId="170" fontId="18" fillId="5" borderId="31" xfId="0" applyNumberFormat="1" applyFont="1" applyFill="1" applyBorder="1" applyAlignment="1">
      <alignment horizontal="center" vertical="center"/>
    </xf>
    <xf numFmtId="0" fontId="18" fillId="5" borderId="7" xfId="0" applyFont="1" applyFill="1" applyBorder="1"/>
    <xf numFmtId="0" fontId="18" fillId="5" borderId="5" xfId="0" applyFont="1" applyFill="1" applyBorder="1"/>
    <xf numFmtId="0" fontId="6" fillId="7" borderId="75" xfId="0" applyFont="1" applyFill="1" applyBorder="1" applyAlignment="1">
      <alignment horizontal="center" vertical="center" wrapText="1"/>
    </xf>
    <xf numFmtId="0" fontId="6" fillId="7" borderId="71" xfId="0" applyFont="1" applyFill="1" applyBorder="1" applyAlignment="1">
      <alignment horizontal="center" vertical="center" wrapText="1"/>
    </xf>
    <xf numFmtId="0" fontId="6" fillId="7" borderId="74" xfId="0" applyFont="1" applyFill="1" applyBorder="1" applyAlignment="1">
      <alignment horizontal="center" vertical="center" wrapText="1"/>
    </xf>
    <xf numFmtId="164" fontId="18" fillId="0" borderId="31" xfId="4" applyNumberFormat="1" applyFont="1" applyBorder="1" applyAlignment="1">
      <alignment horizontal="center" vertical="center"/>
    </xf>
    <xf numFmtId="0" fontId="21" fillId="0" borderId="0" xfId="10" applyFont="1"/>
    <xf numFmtId="0" fontId="39" fillId="4" borderId="10" xfId="0" applyFont="1" applyFill="1" applyBorder="1" applyAlignment="1">
      <alignment horizontal="center" vertical="center" wrapText="1"/>
    </xf>
    <xf numFmtId="164" fontId="39" fillId="4" borderId="11" xfId="4" applyNumberFormat="1" applyFont="1" applyFill="1" applyBorder="1" applyAlignment="1">
      <alignment horizontal="center" vertical="center" wrapText="1"/>
    </xf>
    <xf numFmtId="164" fontId="39" fillId="4" borderId="12" xfId="4" applyNumberFormat="1" applyFont="1" applyFill="1" applyBorder="1" applyAlignment="1">
      <alignment horizontal="center" vertical="center" wrapText="1"/>
    </xf>
    <xf numFmtId="0" fontId="18" fillId="0" borderId="15" xfId="0" applyFont="1" applyBorder="1"/>
    <xf numFmtId="164" fontId="39" fillId="4" borderId="0" xfId="4" applyNumberFormat="1" applyFont="1" applyFill="1" applyBorder="1" applyAlignment="1">
      <alignment horizontal="center" vertical="center" wrapText="1"/>
    </xf>
    <xf numFmtId="164" fontId="39" fillId="4" borderId="27" xfId="4" applyNumberFormat="1" applyFont="1" applyFill="1" applyBorder="1" applyAlignment="1">
      <alignment horizontal="center" vertical="center" wrapText="1"/>
    </xf>
    <xf numFmtId="0" fontId="39" fillId="4" borderId="76" xfId="0" applyFont="1" applyFill="1" applyBorder="1" applyAlignment="1">
      <alignment horizontal="center" vertical="center" wrapText="1"/>
    </xf>
    <xf numFmtId="165" fontId="0" fillId="0" borderId="52" xfId="2" applyNumberFormat="1" applyFont="1" applyBorder="1"/>
    <xf numFmtId="165" fontId="0" fillId="0" borderId="55" xfId="2" applyNumberFormat="1" applyFont="1" applyBorder="1"/>
    <xf numFmtId="43" fontId="3" fillId="0" borderId="20" xfId="4" applyFont="1" applyBorder="1"/>
    <xf numFmtId="43" fontId="3" fillId="0" borderId="45" xfId="4" applyFont="1" applyBorder="1"/>
    <xf numFmtId="165" fontId="3" fillId="0" borderId="44" xfId="2" applyNumberFormat="1" applyFont="1" applyBorder="1" applyAlignment="1">
      <alignment horizontal="center" wrapText="1"/>
    </xf>
    <xf numFmtId="165" fontId="3" fillId="0" borderId="38" xfId="2" applyNumberFormat="1" applyFont="1" applyBorder="1" applyAlignment="1">
      <alignment horizontal="center" wrapText="1"/>
    </xf>
    <xf numFmtId="165" fontId="3" fillId="0" borderId="1" xfId="2" applyNumberFormat="1" applyFont="1" applyBorder="1" applyAlignment="1">
      <alignment horizontal="center" wrapText="1"/>
    </xf>
    <xf numFmtId="165" fontId="8" fillId="15" borderId="52" xfId="2" applyNumberFormat="1" applyFont="1" applyFill="1" applyBorder="1"/>
    <xf numFmtId="165" fontId="8" fillId="15" borderId="0" xfId="2" applyNumberFormat="1" applyFont="1" applyFill="1"/>
    <xf numFmtId="165" fontId="0" fillId="15" borderId="0" xfId="2" applyNumberFormat="1" applyFont="1" applyFill="1"/>
    <xf numFmtId="165" fontId="0" fillId="15" borderId="72" xfId="2" applyNumberFormat="1" applyFont="1" applyFill="1" applyBorder="1"/>
    <xf numFmtId="165" fontId="0" fillId="0" borderId="72" xfId="2" applyNumberFormat="1" applyFont="1" applyBorder="1"/>
    <xf numFmtId="165" fontId="3" fillId="0" borderId="20" xfId="2" applyNumberFormat="1" applyFont="1" applyBorder="1"/>
    <xf numFmtId="165" fontId="0" fillId="15" borderId="52" xfId="2" applyNumberFormat="1" applyFont="1" applyFill="1" applyBorder="1"/>
    <xf numFmtId="165" fontId="0" fillId="0" borderId="78" xfId="2" applyNumberFormat="1" applyFont="1" applyBorder="1"/>
    <xf numFmtId="165" fontId="0" fillId="0" borderId="59" xfId="2" applyNumberFormat="1" applyFont="1" applyBorder="1"/>
    <xf numFmtId="165" fontId="3" fillId="0" borderId="52" xfId="2" applyNumberFormat="1" applyFont="1" applyBorder="1"/>
    <xf numFmtId="43" fontId="18" fillId="0" borderId="15" xfId="4" applyFont="1" applyFill="1" applyBorder="1"/>
    <xf numFmtId="43" fontId="18" fillId="0" borderId="15" xfId="4" applyFont="1" applyFill="1" applyBorder="1" applyAlignment="1">
      <alignment horizontal="center" vertical="center"/>
    </xf>
    <xf numFmtId="0" fontId="39" fillId="4" borderId="0" xfId="0" applyFont="1" applyFill="1" applyAlignment="1">
      <alignment horizontal="center" vertical="center" wrapText="1"/>
    </xf>
    <xf numFmtId="0" fontId="19" fillId="0" borderId="78" xfId="0" applyFont="1" applyBorder="1"/>
    <xf numFmtId="166" fontId="18" fillId="0" borderId="15" xfId="4" applyNumberFormat="1" applyFont="1" applyBorder="1"/>
    <xf numFmtId="166" fontId="18" fillId="0" borderId="15" xfId="4" applyNumberFormat="1" applyFont="1" applyBorder="1" applyAlignment="1">
      <alignment horizontal="left" indent="1"/>
    </xf>
    <xf numFmtId="166" fontId="18" fillId="0" borderId="0" xfId="4" applyNumberFormat="1" applyFont="1"/>
    <xf numFmtId="2" fontId="18" fillId="0" borderId="15" xfId="0" applyNumberFormat="1" applyFont="1" applyBorder="1"/>
    <xf numFmtId="173" fontId="18" fillId="0" borderId="15" xfId="0" applyNumberFormat="1" applyFont="1" applyBorder="1"/>
    <xf numFmtId="165" fontId="3" fillId="0" borderId="23" xfId="2" applyNumberFormat="1" applyFont="1" applyBorder="1"/>
    <xf numFmtId="43" fontId="3" fillId="0" borderId="60" xfId="4" applyFont="1" applyBorder="1"/>
    <xf numFmtId="165" fontId="0" fillId="0" borderId="10" xfId="2" applyNumberFormat="1" applyFont="1" applyBorder="1"/>
    <xf numFmtId="43" fontId="3" fillId="0" borderId="15" xfId="4" applyFont="1" applyBorder="1"/>
    <xf numFmtId="165" fontId="0" fillId="0" borderId="27" xfId="2" applyNumberFormat="1" applyFont="1" applyBorder="1"/>
    <xf numFmtId="165" fontId="0" fillId="0" borderId="52" xfId="0" applyNumberFormat="1" applyBorder="1"/>
    <xf numFmtId="165" fontId="0" fillId="0" borderId="55" xfId="0" applyNumberFormat="1" applyBorder="1"/>
    <xf numFmtId="165" fontId="0" fillId="0" borderId="72" xfId="0" applyNumberFormat="1" applyBorder="1"/>
    <xf numFmtId="0" fontId="52" fillId="0" borderId="0" xfId="10" applyFont="1"/>
    <xf numFmtId="0" fontId="53" fillId="0" borderId="0" xfId="10" applyFont="1"/>
    <xf numFmtId="0" fontId="28" fillId="4" borderId="23" xfId="0" applyFont="1" applyFill="1" applyBorder="1" applyAlignment="1">
      <alignment horizontal="center" vertical="center" wrapText="1"/>
    </xf>
    <xf numFmtId="164" fontId="28" fillId="4" borderId="24" xfId="4" applyNumberFormat="1" applyFont="1" applyFill="1" applyBorder="1" applyAlignment="1">
      <alignment horizontal="center" vertical="center" wrapText="1"/>
    </xf>
    <xf numFmtId="164" fontId="28" fillId="4" borderId="25" xfId="4" applyNumberFormat="1" applyFont="1" applyFill="1" applyBorder="1" applyAlignment="1">
      <alignment horizontal="center" vertical="center" wrapText="1"/>
    </xf>
    <xf numFmtId="0" fontId="29" fillId="0" borderId="15" xfId="0" applyFont="1" applyBorder="1" applyAlignment="1">
      <alignment wrapText="1"/>
    </xf>
    <xf numFmtId="164" fontId="29" fillId="0" borderId="15" xfId="4" applyNumberFormat="1" applyFont="1" applyBorder="1" applyAlignment="1"/>
    <xf numFmtId="0" fontId="29" fillId="8" borderId="15" xfId="0" applyFont="1" applyFill="1" applyBorder="1" applyAlignment="1">
      <alignment wrapText="1"/>
    </xf>
    <xf numFmtId="3" fontId="30" fillId="16" borderId="15" xfId="0" applyNumberFormat="1" applyFont="1" applyFill="1" applyBorder="1" applyAlignment="1">
      <alignment vertical="center" wrapText="1"/>
    </xf>
    <xf numFmtId="9" fontId="30" fillId="16" borderId="15" xfId="1" applyFont="1" applyFill="1" applyBorder="1" applyAlignment="1">
      <alignment vertical="center" wrapText="1"/>
    </xf>
    <xf numFmtId="0" fontId="29" fillId="0" borderId="15" xfId="0" applyFont="1" applyBorder="1" applyAlignment="1">
      <alignment vertical="center" wrapText="1"/>
    </xf>
    <xf numFmtId="3" fontId="29" fillId="0" borderId="15" xfId="0" applyNumberFormat="1" applyFont="1" applyBorder="1" applyAlignment="1">
      <alignment vertical="center"/>
    </xf>
    <xf numFmtId="0" fontId="30" fillId="16" borderId="15" xfId="0" applyFont="1" applyFill="1" applyBorder="1" applyAlignment="1">
      <alignment vertical="center" wrapText="1"/>
    </xf>
    <xf numFmtId="3" fontId="29" fillId="16" borderId="15" xfId="0" applyNumberFormat="1" applyFont="1" applyFill="1" applyBorder="1" applyAlignment="1">
      <alignment vertical="center" wrapText="1"/>
    </xf>
    <xf numFmtId="0" fontId="29" fillId="0" borderId="0" xfId="0" applyFont="1"/>
    <xf numFmtId="0" fontId="58" fillId="4" borderId="23" xfId="0" applyFont="1" applyFill="1" applyBorder="1" applyAlignment="1">
      <alignment horizontal="center" vertical="center" wrapText="1"/>
    </xf>
    <xf numFmtId="164" fontId="58" fillId="4" borderId="24" xfId="4" applyNumberFormat="1" applyFont="1" applyFill="1" applyBorder="1" applyAlignment="1">
      <alignment horizontal="center" vertical="center" wrapText="1"/>
    </xf>
    <xf numFmtId="164" fontId="58" fillId="4" borderId="25" xfId="4" applyNumberFormat="1" applyFont="1" applyFill="1" applyBorder="1" applyAlignment="1">
      <alignment horizontal="center" vertical="center" wrapText="1"/>
    </xf>
    <xf numFmtId="164" fontId="29" fillId="0" borderId="15" xfId="4" applyNumberFormat="1" applyFont="1" applyBorder="1"/>
    <xf numFmtId="3" fontId="30" fillId="16" borderId="15" xfId="0" applyNumberFormat="1" applyFont="1" applyFill="1" applyBorder="1" applyAlignment="1">
      <alignment horizontal="right" vertical="center" wrapText="1"/>
    </xf>
    <xf numFmtId="9" fontId="30" fillId="16" borderId="15" xfId="1" applyFont="1" applyFill="1" applyBorder="1" applyAlignment="1">
      <alignment horizontal="right" vertical="center" wrapText="1"/>
    </xf>
    <xf numFmtId="3" fontId="29" fillId="0" borderId="15" xfId="0" applyNumberFormat="1" applyFont="1" applyBorder="1" applyAlignment="1">
      <alignment horizontal="right" vertical="center"/>
    </xf>
    <xf numFmtId="164" fontId="29" fillId="0" borderId="15" xfId="4" applyNumberFormat="1" applyFont="1" applyFill="1" applyBorder="1"/>
    <xf numFmtId="0" fontId="29" fillId="0" borderId="15" xfId="0" applyFont="1" applyBorder="1" applyAlignment="1">
      <alignment horizontal="right" vertical="center" wrapText="1"/>
    </xf>
    <xf numFmtId="3" fontId="29" fillId="16" borderId="15" xfId="0" applyNumberFormat="1" applyFont="1" applyFill="1" applyBorder="1" applyAlignment="1">
      <alignment horizontal="right" vertical="center" wrapText="1"/>
    </xf>
    <xf numFmtId="0" fontId="50" fillId="0" borderId="0" xfId="10" applyFont="1"/>
    <xf numFmtId="0" fontId="59" fillId="0" borderId="0" xfId="10" applyFont="1"/>
    <xf numFmtId="43" fontId="59" fillId="0" borderId="0" xfId="4" applyFont="1" applyAlignment="1">
      <alignment horizontal="center"/>
    </xf>
    <xf numFmtId="165" fontId="3" fillId="0" borderId="48" xfId="2" applyNumberFormat="1" applyFont="1" applyBorder="1"/>
    <xf numFmtId="165" fontId="3" fillId="0" borderId="56" xfId="0" applyNumberFormat="1" applyFont="1" applyBorder="1"/>
    <xf numFmtId="165" fontId="3" fillId="0" borderId="22" xfId="0" applyNumberFormat="1" applyFont="1" applyBorder="1"/>
    <xf numFmtId="0" fontId="43" fillId="6" borderId="56" xfId="9" applyFont="1" applyFill="1" applyBorder="1"/>
    <xf numFmtId="0" fontId="21" fillId="17" borderId="6" xfId="0" applyFont="1" applyFill="1" applyBorder="1" applyAlignment="1">
      <alignment horizontal="center" vertical="center"/>
    </xf>
    <xf numFmtId="175" fontId="21" fillId="17" borderId="7" xfId="0" applyNumberFormat="1" applyFont="1" applyFill="1" applyBorder="1" applyAlignment="1">
      <alignment horizontal="center" vertical="center"/>
    </xf>
    <xf numFmtId="164" fontId="22" fillId="17" borderId="3" xfId="4" applyNumberFormat="1" applyFont="1" applyFill="1" applyBorder="1" applyAlignment="1">
      <alignment horizontal="center" vertical="center"/>
    </xf>
    <xf numFmtId="164" fontId="21" fillId="17" borderId="15" xfId="4" applyNumberFormat="1" applyFont="1" applyFill="1" applyBorder="1" applyAlignment="1">
      <alignment horizontal="center" vertical="center"/>
    </xf>
    <xf numFmtId="0" fontId="21" fillId="0" borderId="3" xfId="0" applyFont="1" applyBorder="1" applyAlignment="1">
      <alignment horizontal="center" vertical="center"/>
    </xf>
    <xf numFmtId="0" fontId="21" fillId="0" borderId="14" xfId="0" applyFont="1" applyBorder="1" applyAlignment="1">
      <alignment horizontal="center" vertical="center"/>
    </xf>
    <xf numFmtId="165" fontId="21" fillId="0" borderId="3" xfId="2" applyNumberFormat="1" applyFont="1" applyFill="1" applyBorder="1" applyAlignment="1">
      <alignment horizontal="center" vertical="center"/>
    </xf>
    <xf numFmtId="165" fontId="21" fillId="0" borderId="14" xfId="2" applyNumberFormat="1" applyFont="1" applyFill="1" applyBorder="1" applyAlignment="1">
      <alignment horizontal="center" vertical="center"/>
    </xf>
    <xf numFmtId="164" fontId="21" fillId="0" borderId="3" xfId="4" applyNumberFormat="1" applyFont="1" applyFill="1" applyBorder="1" applyAlignment="1">
      <alignment horizontal="center" vertical="center"/>
    </xf>
    <xf numFmtId="164" fontId="21" fillId="0" borderId="14" xfId="4" applyNumberFormat="1" applyFont="1" applyFill="1" applyBorder="1" applyAlignment="1">
      <alignment horizontal="center" vertical="center"/>
    </xf>
    <xf numFmtId="164" fontId="21" fillId="0" borderId="28" xfId="4" applyNumberFormat="1" applyFont="1" applyFill="1" applyBorder="1" applyAlignment="1">
      <alignment horizontal="center" vertical="center"/>
    </xf>
    <xf numFmtId="164" fontId="21" fillId="0" borderId="15" xfId="4" applyNumberFormat="1" applyFont="1" applyFill="1" applyBorder="1" applyAlignment="1">
      <alignment horizontal="center" vertical="center"/>
    </xf>
    <xf numFmtId="0" fontId="21" fillId="0" borderId="7" xfId="0" applyFont="1" applyBorder="1" applyAlignment="1">
      <alignment horizontal="center" vertical="center"/>
    </xf>
    <xf numFmtId="165" fontId="21" fillId="0" borderId="7" xfId="2" applyNumberFormat="1" applyFont="1" applyFill="1" applyBorder="1" applyAlignment="1">
      <alignment horizontal="center" vertical="center"/>
    </xf>
    <xf numFmtId="165" fontId="21" fillId="0" borderId="6" xfId="2" applyNumberFormat="1" applyFont="1" applyFill="1" applyBorder="1" applyAlignment="1">
      <alignment horizontal="center" vertical="center"/>
    </xf>
    <xf numFmtId="164" fontId="21" fillId="0" borderId="7" xfId="4" applyNumberFormat="1" applyFont="1" applyFill="1" applyBorder="1" applyAlignment="1">
      <alignment horizontal="center" vertical="center"/>
    </xf>
    <xf numFmtId="164" fontId="21" fillId="0" borderId="6" xfId="4" applyNumberFormat="1" applyFont="1" applyFill="1" applyBorder="1" applyAlignment="1">
      <alignment horizontal="center" vertical="center"/>
    </xf>
    <xf numFmtId="164" fontId="21" fillId="0" borderId="30" xfId="4" applyNumberFormat="1" applyFont="1" applyFill="1" applyBorder="1" applyAlignment="1">
      <alignment horizontal="center" vertical="center"/>
    </xf>
    <xf numFmtId="0" fontId="60" fillId="0" borderId="0" xfId="0" applyFont="1"/>
    <xf numFmtId="0" fontId="64" fillId="0" borderId="0" xfId="0" applyFont="1"/>
    <xf numFmtId="0" fontId="19" fillId="0" borderId="0" xfId="0" applyFont="1"/>
    <xf numFmtId="165" fontId="0" fillId="0" borderId="37" xfId="0" applyNumberFormat="1" applyBorder="1" applyAlignment="1">
      <alignment horizontal="center" vertical="center"/>
    </xf>
    <xf numFmtId="165" fontId="0" fillId="0" borderId="35" xfId="0" applyNumberFormat="1" applyBorder="1" applyAlignment="1">
      <alignment horizontal="center" vertical="center"/>
    </xf>
    <xf numFmtId="165" fontId="0" fillId="0" borderId="13" xfId="2" applyNumberFormat="1" applyFont="1" applyFill="1" applyBorder="1" applyAlignment="1">
      <alignment horizontal="center" vertical="center"/>
    </xf>
    <xf numFmtId="0" fontId="61" fillId="21" borderId="37" xfId="0" applyFont="1" applyFill="1" applyBorder="1"/>
    <xf numFmtId="0" fontId="61" fillId="21" borderId="33" xfId="0" applyFont="1" applyFill="1" applyBorder="1"/>
    <xf numFmtId="172" fontId="61" fillId="21" borderId="15" xfId="0" applyNumberFormat="1" applyFont="1" applyFill="1" applyBorder="1"/>
    <xf numFmtId="0" fontId="61" fillId="21" borderId="35" xfId="0" applyFont="1" applyFill="1" applyBorder="1"/>
    <xf numFmtId="0" fontId="44" fillId="6" borderId="38" xfId="0" applyFont="1" applyFill="1" applyBorder="1" applyAlignment="1">
      <alignment horizontal="left" vertical="center" wrapText="1"/>
    </xf>
    <xf numFmtId="0" fontId="44" fillId="6" borderId="79" xfId="0" applyFont="1" applyFill="1" applyBorder="1" applyAlignment="1">
      <alignment horizontal="left" vertical="center" wrapText="1"/>
    </xf>
    <xf numFmtId="164" fontId="3" fillId="11" borderId="10" xfId="4" applyNumberFormat="1" applyFont="1" applyFill="1" applyBorder="1" applyAlignment="1">
      <alignment horizontal="center"/>
    </xf>
    <xf numFmtId="164" fontId="3" fillId="11" borderId="11" xfId="4" applyNumberFormat="1" applyFont="1" applyFill="1" applyBorder="1" applyAlignment="1">
      <alignment horizontal="center"/>
    </xf>
    <xf numFmtId="168" fontId="3" fillId="11" borderId="71" xfId="1" applyNumberFormat="1" applyFont="1" applyFill="1" applyBorder="1" applyAlignment="1">
      <alignment horizontal="center"/>
    </xf>
    <xf numFmtId="164" fontId="3" fillId="11" borderId="27" xfId="4" applyNumberFormat="1" applyFont="1" applyFill="1" applyBorder="1" applyAlignment="1">
      <alignment horizontal="center"/>
    </xf>
    <xf numFmtId="168" fontId="3" fillId="11" borderId="11" xfId="1" applyNumberFormat="1" applyFont="1" applyFill="1" applyBorder="1" applyAlignment="1">
      <alignment horizontal="center"/>
    </xf>
    <xf numFmtId="0" fontId="11" fillId="0" borderId="76" xfId="0" applyFont="1" applyBorder="1"/>
    <xf numFmtId="0" fontId="2" fillId="0" borderId="66" xfId="0" applyFont="1" applyBorder="1"/>
    <xf numFmtId="44" fontId="2" fillId="0" borderId="66" xfId="0" applyNumberFormat="1" applyFont="1" applyBorder="1"/>
    <xf numFmtId="171" fontId="2" fillId="0" borderId="66" xfId="1" applyNumberFormat="1" applyFont="1" applyBorder="1"/>
    <xf numFmtId="165" fontId="2" fillId="0" borderId="66" xfId="2" applyNumberFormat="1" applyFont="1" applyBorder="1"/>
    <xf numFmtId="0" fontId="2" fillId="0" borderId="34" xfId="0" applyFont="1" applyBorder="1"/>
    <xf numFmtId="0" fontId="11" fillId="0" borderId="71" xfId="0" applyFont="1" applyBorder="1"/>
    <xf numFmtId="165" fontId="0" fillId="0" borderId="0" xfId="2" applyNumberFormat="1" applyFont="1" applyBorder="1"/>
    <xf numFmtId="0" fontId="0" fillId="0" borderId="27" xfId="0" applyBorder="1"/>
    <xf numFmtId="164" fontId="0" fillId="0" borderId="0" xfId="4" applyNumberFormat="1" applyFont="1" applyBorder="1"/>
    <xf numFmtId="43" fontId="0" fillId="0" borderId="0" xfId="4" applyFont="1" applyBorder="1"/>
    <xf numFmtId="0" fontId="0" fillId="0" borderId="78" xfId="0" applyBorder="1"/>
    <xf numFmtId="164" fontId="0" fillId="0" borderId="78" xfId="4" applyNumberFormat="1" applyFont="1" applyBorder="1"/>
    <xf numFmtId="43" fontId="0" fillId="0" borderId="78" xfId="4" applyFont="1" applyBorder="1"/>
    <xf numFmtId="0" fontId="0" fillId="0" borderId="33" xfId="0" applyBorder="1"/>
    <xf numFmtId="0" fontId="17" fillId="0" borderId="0" xfId="0" applyFont="1"/>
    <xf numFmtId="165" fontId="0" fillId="0" borderId="38" xfId="2" applyNumberFormat="1" applyFont="1" applyFill="1" applyBorder="1" applyAlignment="1">
      <alignment horizontal="center" vertical="center"/>
    </xf>
    <xf numFmtId="164" fontId="0" fillId="0" borderId="3" xfId="4" applyNumberFormat="1" applyFont="1" applyFill="1" applyBorder="1" applyAlignment="1">
      <alignment horizontal="center" vertical="center"/>
    </xf>
    <xf numFmtId="164" fontId="11" fillId="0" borderId="15" xfId="4" applyNumberFormat="1" applyFont="1" applyFill="1" applyBorder="1" applyAlignment="1">
      <alignment horizontal="center"/>
    </xf>
    <xf numFmtId="165" fontId="0" fillId="0" borderId="21" xfId="2" applyNumberFormat="1" applyFont="1" applyFill="1" applyBorder="1" applyAlignment="1">
      <alignment horizontal="center" vertical="center"/>
    </xf>
    <xf numFmtId="164" fontId="0" fillId="0" borderId="17" xfId="4" applyNumberFormat="1" applyFont="1" applyFill="1" applyBorder="1" applyAlignment="1">
      <alignment horizontal="center" vertical="center"/>
    </xf>
    <xf numFmtId="164" fontId="0" fillId="0" borderId="18" xfId="4" applyNumberFormat="1" applyFont="1" applyFill="1" applyBorder="1" applyAlignment="1">
      <alignment horizontal="center"/>
    </xf>
    <xf numFmtId="0" fontId="61" fillId="0" borderId="18" xfId="0" applyFont="1" applyBorder="1"/>
    <xf numFmtId="165" fontId="0" fillId="0" borderId="21" xfId="2" applyNumberFormat="1" applyFont="1" applyFill="1" applyBorder="1" applyAlignment="1">
      <alignment horizontal="left" vertical="center"/>
    </xf>
    <xf numFmtId="172" fontId="61" fillId="0" borderId="18" xfId="0" applyNumberFormat="1" applyFont="1" applyBorder="1"/>
    <xf numFmtId="0" fontId="61" fillId="0" borderId="26" xfId="0" applyFont="1" applyBorder="1"/>
    <xf numFmtId="164" fontId="0" fillId="0" borderId="26" xfId="4" applyNumberFormat="1" applyFont="1" applyFill="1" applyBorder="1" applyAlignment="1">
      <alignment horizontal="center" vertical="center"/>
    </xf>
    <xf numFmtId="0" fontId="61" fillId="0" borderId="15" xfId="0" applyFont="1" applyBorder="1"/>
    <xf numFmtId="164" fontId="0" fillId="0" borderId="5" xfId="4" applyNumberFormat="1" applyFont="1" applyFill="1" applyBorder="1" applyAlignment="1">
      <alignment horizontal="center" vertical="center"/>
    </xf>
    <xf numFmtId="164" fontId="0" fillId="0" borderId="15" xfId="4" applyNumberFormat="1" applyFont="1" applyFill="1" applyBorder="1" applyAlignment="1">
      <alignment horizontal="center"/>
    </xf>
    <xf numFmtId="164" fontId="0" fillId="0" borderId="7" xfId="4" applyNumberFormat="1" applyFont="1" applyFill="1" applyBorder="1" applyAlignment="1">
      <alignment horizontal="center" vertical="center"/>
    </xf>
    <xf numFmtId="168" fontId="0" fillId="0" borderId="72" xfId="1" applyNumberFormat="1" applyFont="1" applyFill="1" applyBorder="1" applyAlignment="1">
      <alignment horizontal="center" vertical="center"/>
    </xf>
    <xf numFmtId="168" fontId="3" fillId="9" borderId="16" xfId="1" applyNumberFormat="1" applyFont="1" applyFill="1" applyBorder="1" applyAlignment="1">
      <alignment horizontal="center" vertical="center"/>
    </xf>
    <xf numFmtId="0" fontId="3" fillId="9" borderId="55" xfId="0" applyFont="1" applyFill="1" applyBorder="1"/>
    <xf numFmtId="0" fontId="14" fillId="0" borderId="3" xfId="0" applyFont="1" applyBorder="1"/>
    <xf numFmtId="0" fontId="14" fillId="0" borderId="13" xfId="0" applyFont="1" applyBorder="1"/>
    <xf numFmtId="0" fontId="14" fillId="0" borderId="17" xfId="0" applyFont="1" applyBorder="1"/>
    <xf numFmtId="164" fontId="0" fillId="0" borderId="20" xfId="4" applyNumberFormat="1" applyFont="1" applyFill="1" applyBorder="1" applyAlignment="1">
      <alignment horizontal="center" vertical="center"/>
    </xf>
    <xf numFmtId="0" fontId="14" fillId="0" borderId="10" xfId="0" applyFont="1" applyBorder="1"/>
    <xf numFmtId="164" fontId="0" fillId="0" borderId="24" xfId="4" applyNumberFormat="1" applyFont="1" applyFill="1" applyBorder="1" applyAlignment="1">
      <alignment horizontal="center" vertical="center"/>
    </xf>
    <xf numFmtId="168" fontId="0" fillId="0" borderId="25" xfId="1" applyNumberFormat="1" applyFont="1" applyFill="1" applyBorder="1" applyAlignment="1">
      <alignment horizontal="center" vertical="center"/>
    </xf>
    <xf numFmtId="165" fontId="0" fillId="0" borderId="48" xfId="2" applyNumberFormat="1" applyFont="1" applyFill="1" applyBorder="1" applyAlignment="1">
      <alignment horizontal="center" vertical="center"/>
    </xf>
    <xf numFmtId="164" fontId="0" fillId="0" borderId="31" xfId="4" applyNumberFormat="1" applyFont="1" applyFill="1" applyBorder="1" applyAlignment="1">
      <alignment horizontal="center" vertical="center"/>
    </xf>
    <xf numFmtId="164" fontId="0" fillId="0" borderId="62" xfId="4" applyNumberFormat="1" applyFont="1" applyFill="1" applyBorder="1" applyAlignment="1">
      <alignment horizontal="center" vertical="center"/>
    </xf>
    <xf numFmtId="165" fontId="0" fillId="0" borderId="41" xfId="2" applyNumberFormat="1" applyFont="1" applyFill="1" applyBorder="1" applyAlignment="1">
      <alignment horizontal="center" vertical="center"/>
    </xf>
    <xf numFmtId="164" fontId="0" fillId="0" borderId="37" xfId="4" applyNumberFormat="1" applyFont="1" applyFill="1" applyBorder="1" applyAlignment="1">
      <alignment horizontal="center" vertical="center"/>
    </xf>
    <xf numFmtId="164" fontId="0" fillId="0" borderId="35" xfId="4" applyNumberFormat="1" applyFont="1" applyFill="1" applyBorder="1" applyAlignment="1">
      <alignment horizontal="center" vertical="center"/>
    </xf>
    <xf numFmtId="165" fontId="0" fillId="0" borderId="31" xfId="4" applyNumberFormat="1" applyFont="1" applyFill="1" applyBorder="1" applyAlignment="1">
      <alignment horizontal="center" vertical="center"/>
    </xf>
    <xf numFmtId="165" fontId="0" fillId="0" borderId="62" xfId="2" applyNumberFormat="1" applyFont="1" applyFill="1" applyBorder="1" applyAlignment="1">
      <alignment horizontal="center" vertical="center"/>
    </xf>
    <xf numFmtId="164" fontId="14" fillId="0" borderId="62" xfId="4" applyNumberFormat="1" applyFont="1" applyFill="1" applyBorder="1" applyAlignment="1">
      <alignment horizontal="center"/>
    </xf>
    <xf numFmtId="168" fontId="14" fillId="0" borderId="62" xfId="1" applyNumberFormat="1" applyFont="1" applyFill="1" applyBorder="1" applyAlignment="1">
      <alignment horizontal="center"/>
    </xf>
    <xf numFmtId="164" fontId="25" fillId="0" borderId="62" xfId="4" applyNumberFormat="1" applyFont="1" applyFill="1" applyBorder="1" applyAlignment="1">
      <alignment horizontal="center"/>
    </xf>
    <xf numFmtId="170" fontId="14" fillId="0" borderId="62" xfId="4" applyNumberFormat="1" applyFont="1" applyFill="1" applyBorder="1" applyAlignment="1">
      <alignment horizontal="center"/>
    </xf>
    <xf numFmtId="165" fontId="0" fillId="0" borderId="17" xfId="4" applyNumberFormat="1" applyFont="1" applyFill="1" applyBorder="1" applyAlignment="1">
      <alignment horizontal="center" vertical="center"/>
    </xf>
    <xf numFmtId="165" fontId="0" fillId="0" borderId="18" xfId="2" applyNumberFormat="1" applyFont="1" applyFill="1" applyBorder="1" applyAlignment="1">
      <alignment horizontal="center" vertical="center"/>
    </xf>
    <xf numFmtId="164" fontId="14" fillId="0" borderId="18" xfId="4" applyNumberFormat="1" applyFont="1" applyFill="1" applyBorder="1" applyAlignment="1">
      <alignment horizontal="center"/>
    </xf>
    <xf numFmtId="168" fontId="14" fillId="0" borderId="18" xfId="1" applyNumberFormat="1" applyFont="1" applyFill="1" applyBorder="1" applyAlignment="1">
      <alignment horizontal="center"/>
    </xf>
    <xf numFmtId="164" fontId="47" fillId="0" borderId="18" xfId="4" applyNumberFormat="1" applyFont="1" applyFill="1" applyBorder="1" applyAlignment="1">
      <alignment horizontal="center"/>
    </xf>
    <xf numFmtId="170" fontId="14" fillId="0" borderId="18" xfId="4" applyNumberFormat="1" applyFont="1" applyFill="1" applyBorder="1" applyAlignment="1">
      <alignment horizontal="center"/>
    </xf>
    <xf numFmtId="165" fontId="0" fillId="0" borderId="26" xfId="4" applyNumberFormat="1" applyFont="1" applyFill="1" applyBorder="1" applyAlignment="1">
      <alignment horizontal="center" vertical="center"/>
    </xf>
    <xf numFmtId="164" fontId="14" fillId="0" borderId="15" xfId="4" applyNumberFormat="1" applyFont="1" applyFill="1" applyBorder="1" applyAlignment="1">
      <alignment horizontal="center"/>
    </xf>
    <xf numFmtId="168" fontId="14" fillId="0" borderId="15" xfId="1" applyNumberFormat="1" applyFont="1" applyFill="1" applyBorder="1" applyAlignment="1">
      <alignment horizontal="center"/>
    </xf>
    <xf numFmtId="164" fontId="25" fillId="0" borderId="15" xfId="4" applyNumberFormat="1" applyFont="1" applyFill="1" applyBorder="1" applyAlignment="1">
      <alignment horizontal="center"/>
    </xf>
    <xf numFmtId="170" fontId="14" fillId="0" borderId="15" xfId="4" applyNumberFormat="1" applyFont="1" applyFill="1" applyBorder="1" applyAlignment="1">
      <alignment horizontal="center"/>
    </xf>
    <xf numFmtId="165" fontId="0" fillId="0" borderId="7" xfId="4" applyNumberFormat="1" applyFont="1" applyFill="1" applyBorder="1" applyAlignment="1">
      <alignment horizontal="center" vertical="center"/>
    </xf>
    <xf numFmtId="165" fontId="0" fillId="0" borderId="5" xfId="2" applyNumberFormat="1" applyFont="1" applyFill="1" applyBorder="1" applyAlignment="1">
      <alignment horizontal="center" vertical="center"/>
    </xf>
    <xf numFmtId="164" fontId="14" fillId="0" borderId="5" xfId="4" applyNumberFormat="1" applyFont="1" applyFill="1" applyBorder="1" applyAlignment="1">
      <alignment horizontal="center"/>
    </xf>
    <xf numFmtId="168" fontId="14" fillId="0" borderId="5" xfId="1" applyNumberFormat="1" applyFont="1" applyFill="1" applyBorder="1" applyAlignment="1">
      <alignment horizontal="center"/>
    </xf>
    <xf numFmtId="170" fontId="14" fillId="0" borderId="5" xfId="4" applyNumberFormat="1" applyFont="1" applyFill="1" applyBorder="1" applyAlignment="1">
      <alignment horizontal="center"/>
    </xf>
    <xf numFmtId="170" fontId="0" fillId="0" borderId="15" xfId="4" applyNumberFormat="1" applyFont="1" applyFill="1" applyBorder="1" applyAlignment="1">
      <alignment horizontal="center"/>
    </xf>
    <xf numFmtId="168" fontId="3" fillId="9" borderId="54" xfId="1" applyNumberFormat="1" applyFont="1" applyFill="1" applyBorder="1" applyAlignment="1">
      <alignment horizontal="center"/>
    </xf>
    <xf numFmtId="0" fontId="14" fillId="21" borderId="37" xfId="0" applyFont="1" applyFill="1" applyBorder="1"/>
    <xf numFmtId="164" fontId="3" fillId="9" borderId="24" xfId="4" applyNumberFormat="1" applyFont="1" applyFill="1" applyBorder="1" applyAlignment="1">
      <alignment horizontal="center" vertical="center"/>
    </xf>
    <xf numFmtId="164" fontId="3" fillId="9" borderId="24" xfId="4" applyNumberFormat="1" applyFont="1" applyFill="1" applyBorder="1" applyAlignment="1">
      <alignment horizontal="center"/>
    </xf>
    <xf numFmtId="168" fontId="3" fillId="9" borderId="24" xfId="1" applyNumberFormat="1" applyFont="1" applyFill="1" applyBorder="1" applyAlignment="1">
      <alignment horizontal="center"/>
    </xf>
    <xf numFmtId="170" fontId="3" fillId="9" borderId="24" xfId="4" applyNumberFormat="1" applyFont="1" applyFill="1" applyBorder="1" applyAlignment="1">
      <alignment horizontal="center"/>
    </xf>
    <xf numFmtId="0" fontId="14" fillId="0" borderId="15" xfId="0" applyFont="1" applyBorder="1"/>
    <xf numFmtId="1" fontId="14" fillId="0" borderId="15" xfId="0" applyNumberFormat="1" applyFont="1" applyBorder="1"/>
    <xf numFmtId="0" fontId="14" fillId="0" borderId="44" xfId="0" applyFont="1" applyBorder="1"/>
    <xf numFmtId="165" fontId="0" fillId="0" borderId="24" xfId="2" applyNumberFormat="1" applyFont="1" applyFill="1" applyBorder="1" applyAlignment="1">
      <alignment horizontal="center" vertical="center"/>
    </xf>
    <xf numFmtId="164" fontId="0" fillId="0" borderId="41" xfId="4" applyNumberFormat="1" applyFont="1" applyFill="1" applyBorder="1" applyAlignment="1">
      <alignment horizontal="center" vertical="center"/>
    </xf>
    <xf numFmtId="0" fontId="14" fillId="0" borderId="27" xfId="0" applyFont="1" applyBorder="1"/>
    <xf numFmtId="168" fontId="14" fillId="0" borderId="22" xfId="0" applyNumberFormat="1" applyFont="1" applyBorder="1"/>
    <xf numFmtId="165" fontId="17" fillId="0" borderId="26" xfId="0" applyNumberFormat="1" applyFont="1" applyBorder="1" applyAlignment="1">
      <alignment horizontal="center" vertical="center"/>
    </xf>
    <xf numFmtId="6" fontId="14" fillId="0" borderId="27" xfId="0" applyNumberFormat="1" applyFont="1" applyBorder="1"/>
    <xf numFmtId="165" fontId="17" fillId="0" borderId="15" xfId="0" applyNumberFormat="1" applyFont="1" applyBorder="1" applyAlignment="1">
      <alignment horizontal="center" vertical="center"/>
    </xf>
    <xf numFmtId="164" fontId="17" fillId="0" borderId="26" xfId="4" applyNumberFormat="1" applyFont="1" applyFill="1" applyBorder="1" applyAlignment="1">
      <alignment horizontal="center"/>
    </xf>
    <xf numFmtId="164" fontId="22" fillId="0" borderId="3" xfId="4" applyNumberFormat="1" applyFont="1" applyFill="1" applyBorder="1" applyAlignment="1">
      <alignment horizontal="center" vertical="center"/>
    </xf>
    <xf numFmtId="164" fontId="21" fillId="0" borderId="26" xfId="4" applyNumberFormat="1" applyFont="1" applyFill="1" applyBorder="1" applyAlignment="1">
      <alignment horizontal="center" vertical="center"/>
    </xf>
    <xf numFmtId="164" fontId="22" fillId="0" borderId="14" xfId="4" applyNumberFormat="1" applyFont="1" applyFill="1" applyBorder="1" applyAlignment="1">
      <alignment horizontal="center" vertical="center"/>
    </xf>
    <xf numFmtId="164" fontId="21" fillId="0" borderId="29" xfId="4" applyNumberFormat="1" applyFont="1" applyFill="1" applyBorder="1" applyAlignment="1">
      <alignment horizontal="center" vertical="center"/>
    </xf>
    <xf numFmtId="164" fontId="21" fillId="0" borderId="16" xfId="4" applyNumberFormat="1" applyFont="1" applyFill="1" applyBorder="1" applyAlignment="1">
      <alignment horizontal="center" vertical="center"/>
    </xf>
    <xf numFmtId="44" fontId="21" fillId="0" borderId="7" xfId="2" applyFont="1" applyFill="1" applyBorder="1" applyAlignment="1">
      <alignment horizontal="center" vertical="center"/>
    </xf>
    <xf numFmtId="44" fontId="21" fillId="0" borderId="6" xfId="2" applyFont="1" applyFill="1" applyBorder="1" applyAlignment="1">
      <alignment horizontal="center" vertical="center"/>
    </xf>
    <xf numFmtId="38" fontId="21" fillId="0" borderId="7" xfId="0" applyNumberFormat="1" applyFont="1" applyBorder="1" applyAlignment="1">
      <alignment horizontal="center" vertical="center"/>
    </xf>
    <xf numFmtId="38" fontId="21" fillId="0" borderId="6" xfId="0" applyNumberFormat="1" applyFont="1" applyBorder="1" applyAlignment="1">
      <alignment horizontal="center" vertical="center"/>
    </xf>
    <xf numFmtId="0" fontId="21" fillId="0" borderId="37" xfId="0" applyFont="1" applyBorder="1" applyAlignment="1">
      <alignment horizontal="center" vertical="center"/>
    </xf>
    <xf numFmtId="165" fontId="22" fillId="0" borderId="3" xfId="2" applyNumberFormat="1" applyFont="1" applyFill="1" applyBorder="1" applyAlignment="1">
      <alignment horizontal="center" vertical="center"/>
    </xf>
    <xf numFmtId="165" fontId="22" fillId="0" borderId="14" xfId="2" applyNumberFormat="1" applyFont="1" applyFill="1" applyBorder="1" applyAlignment="1">
      <alignment horizontal="center" vertical="center"/>
    </xf>
    <xf numFmtId="38" fontId="21" fillId="0" borderId="3" xfId="0" applyNumberFormat="1" applyFont="1" applyBorder="1" applyAlignment="1">
      <alignment horizontal="center" vertical="center"/>
    </xf>
    <xf numFmtId="38" fontId="21" fillId="0" borderId="14" xfId="0" applyNumberFormat="1" applyFont="1" applyBorder="1" applyAlignment="1">
      <alignment horizontal="center" vertical="center"/>
    </xf>
    <xf numFmtId="0" fontId="21" fillId="0" borderId="35" xfId="0" applyFont="1" applyBorder="1" applyAlignment="1">
      <alignment horizontal="center" vertical="center"/>
    </xf>
    <xf numFmtId="0" fontId="21" fillId="0" borderId="16" xfId="0" applyFont="1" applyBorder="1" applyAlignment="1">
      <alignment horizontal="center" vertical="center"/>
    </xf>
    <xf numFmtId="165" fontId="21" fillId="0" borderId="26" xfId="2" applyNumberFormat="1" applyFont="1" applyFill="1" applyBorder="1" applyAlignment="1">
      <alignment horizontal="center" vertical="center"/>
    </xf>
    <xf numFmtId="165" fontId="21" fillId="0" borderId="16" xfId="2" applyNumberFormat="1" applyFont="1" applyFill="1" applyBorder="1" applyAlignment="1">
      <alignment horizontal="center" vertical="center"/>
    </xf>
    <xf numFmtId="38" fontId="21" fillId="0" borderId="26" xfId="0" applyNumberFormat="1" applyFont="1" applyBorder="1" applyAlignment="1">
      <alignment horizontal="center" vertical="center"/>
    </xf>
    <xf numFmtId="38" fontId="21" fillId="0" borderId="16" xfId="0" applyNumberFormat="1" applyFont="1" applyBorder="1" applyAlignment="1">
      <alignment horizontal="center" vertical="center"/>
    </xf>
    <xf numFmtId="0" fontId="21" fillId="0" borderId="36" xfId="0" applyFont="1" applyBorder="1" applyAlignment="1">
      <alignment horizontal="center" vertical="center"/>
    </xf>
    <xf numFmtId="164" fontId="18" fillId="0" borderId="44" xfId="4" applyNumberFormat="1" applyFont="1" applyFill="1" applyBorder="1" applyAlignment="1">
      <alignment horizontal="center" vertical="center"/>
    </xf>
    <xf numFmtId="164" fontId="18" fillId="0" borderId="75" xfId="4" applyNumberFormat="1" applyFont="1" applyFill="1" applyBorder="1" applyAlignment="1">
      <alignment horizontal="center" vertical="center"/>
    </xf>
    <xf numFmtId="164" fontId="18" fillId="0" borderId="20" xfId="4" applyNumberFormat="1" applyFont="1" applyFill="1" applyBorder="1" applyAlignment="1">
      <alignment horizontal="center" vertical="center"/>
    </xf>
    <xf numFmtId="164" fontId="18" fillId="0" borderId="29" xfId="4" applyNumberFormat="1" applyFont="1" applyFill="1" applyBorder="1" applyAlignment="1">
      <alignment horizontal="center" vertical="center"/>
    </xf>
    <xf numFmtId="164" fontId="18" fillId="0" borderId="48" xfId="4" applyNumberFormat="1" applyFont="1" applyFill="1" applyBorder="1" applyAlignment="1">
      <alignment horizontal="center" vertical="center"/>
    </xf>
    <xf numFmtId="164" fontId="18" fillId="0" borderId="76" xfId="4" applyNumberFormat="1" applyFont="1" applyFill="1" applyBorder="1" applyAlignment="1">
      <alignment horizontal="center" vertical="center"/>
    </xf>
    <xf numFmtId="44" fontId="18" fillId="0" borderId="44" xfId="2" applyFont="1" applyFill="1" applyBorder="1" applyAlignment="1">
      <alignment horizontal="center" vertical="center"/>
    </xf>
    <xf numFmtId="44" fontId="18" fillId="0" borderId="58" xfId="2" applyFont="1" applyFill="1" applyBorder="1" applyAlignment="1">
      <alignment horizontal="center" vertical="center"/>
    </xf>
    <xf numFmtId="44" fontId="18" fillId="0" borderId="20" xfId="2" applyFont="1" applyFill="1" applyBorder="1" applyAlignment="1">
      <alignment horizontal="center" vertical="center"/>
    </xf>
    <xf numFmtId="44" fontId="18" fillId="0" borderId="16" xfId="2" applyFont="1" applyFill="1" applyBorder="1" applyAlignment="1">
      <alignment horizontal="center" vertical="center"/>
    </xf>
    <xf numFmtId="172" fontId="18" fillId="0" borderId="44" xfId="0" applyNumberFormat="1" applyFont="1" applyBorder="1" applyAlignment="1">
      <alignment horizontal="center" vertical="center"/>
    </xf>
    <xf numFmtId="172" fontId="18" fillId="0" borderId="58" xfId="0" applyNumberFormat="1" applyFont="1" applyBorder="1" applyAlignment="1">
      <alignment horizontal="center" vertical="center"/>
    </xf>
    <xf numFmtId="174" fontId="18" fillId="0" borderId="20" xfId="0" applyNumberFormat="1" applyFont="1" applyBorder="1" applyAlignment="1">
      <alignment horizontal="center" vertical="center"/>
    </xf>
    <xf numFmtId="172" fontId="18" fillId="0" borderId="16" xfId="0" applyNumberFormat="1" applyFont="1" applyBorder="1" applyAlignment="1">
      <alignment horizontal="center" vertical="center"/>
    </xf>
    <xf numFmtId="174" fontId="18" fillId="0" borderId="16" xfId="0" applyNumberFormat="1" applyFont="1" applyBorder="1" applyAlignment="1">
      <alignment horizontal="center" vertical="center"/>
    </xf>
    <xf numFmtId="172" fontId="18" fillId="0" borderId="20" xfId="0" applyNumberFormat="1" applyFont="1" applyBorder="1" applyAlignment="1">
      <alignment horizontal="center" vertical="center"/>
    </xf>
    <xf numFmtId="172" fontId="18" fillId="0" borderId="25" xfId="0" applyNumberFormat="1" applyFont="1" applyBorder="1" applyAlignment="1">
      <alignment horizontal="center" vertical="center"/>
    </xf>
    <xf numFmtId="0" fontId="18" fillId="0" borderId="19" xfId="0" applyFont="1" applyBorder="1" applyAlignment="1">
      <alignment horizontal="center" vertical="center"/>
    </xf>
    <xf numFmtId="44" fontId="18" fillId="0" borderId="17" xfId="2" applyFont="1" applyFill="1" applyBorder="1" applyAlignment="1">
      <alignment horizontal="center" vertical="center"/>
    </xf>
    <xf numFmtId="44" fontId="18" fillId="0" borderId="19" xfId="2" applyFont="1" applyFill="1" applyBorder="1" applyAlignment="1">
      <alignment horizontal="center" vertical="center"/>
    </xf>
    <xf numFmtId="170" fontId="18" fillId="0" borderId="19" xfId="0" applyNumberFormat="1"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44" fontId="18" fillId="0" borderId="7" xfId="2" applyFont="1" applyFill="1" applyBorder="1" applyAlignment="1">
      <alignment horizontal="center" vertical="center"/>
    </xf>
    <xf numFmtId="44" fontId="18" fillId="0" borderId="6" xfId="2" applyFont="1" applyFill="1" applyBorder="1" applyAlignment="1">
      <alignment horizontal="center" vertical="center"/>
    </xf>
    <xf numFmtId="170" fontId="18" fillId="0" borderId="7" xfId="0" applyNumberFormat="1" applyFont="1" applyBorder="1" applyAlignment="1">
      <alignment horizontal="center" vertical="center"/>
    </xf>
    <xf numFmtId="170" fontId="18" fillId="0" borderId="6" xfId="0" applyNumberFormat="1" applyFont="1" applyBorder="1" applyAlignment="1">
      <alignment horizontal="center" vertical="center"/>
    </xf>
    <xf numFmtId="44" fontId="18" fillId="0" borderId="48" xfId="2" applyFont="1" applyFill="1" applyBorder="1" applyAlignment="1">
      <alignment horizontal="center" vertical="center"/>
    </xf>
    <xf numFmtId="44" fontId="18" fillId="0" borderId="76" xfId="2" applyFont="1" applyFill="1" applyBorder="1" applyAlignment="1">
      <alignment horizontal="center" vertical="center"/>
    </xf>
    <xf numFmtId="0" fontId="18" fillId="0" borderId="80" xfId="0" applyFont="1" applyBorder="1" applyAlignment="1">
      <alignment horizontal="center" vertical="center"/>
    </xf>
    <xf numFmtId="0" fontId="18" fillId="0" borderId="81" xfId="0" applyFont="1" applyBorder="1" applyAlignment="1">
      <alignment horizontal="center" vertical="center" wrapText="1"/>
    </xf>
    <xf numFmtId="0" fontId="39" fillId="4" borderId="40" xfId="0" applyFont="1" applyFill="1" applyBorder="1" applyAlignment="1">
      <alignment horizontal="center" vertical="center" wrapText="1"/>
    </xf>
    <xf numFmtId="0" fontId="39" fillId="4" borderId="58" xfId="0" applyFont="1" applyFill="1" applyBorder="1" applyAlignment="1">
      <alignment horizontal="center" vertical="center" wrapText="1"/>
    </xf>
    <xf numFmtId="172" fontId="18" fillId="0" borderId="52" xfId="0" applyNumberFormat="1" applyFont="1" applyBorder="1" applyAlignment="1">
      <alignment horizontal="center" vertical="center"/>
    </xf>
    <xf numFmtId="172" fontId="18" fillId="0" borderId="12" xfId="0" applyNumberFormat="1" applyFont="1" applyBorder="1" applyAlignment="1">
      <alignment horizontal="center" vertical="center"/>
    </xf>
    <xf numFmtId="164" fontId="18" fillId="0" borderId="82" xfId="4" applyNumberFormat="1" applyFont="1" applyBorder="1" applyAlignment="1">
      <alignment horizontal="center" vertical="center"/>
    </xf>
    <xf numFmtId="164" fontId="18" fillId="0" borderId="41" xfId="4" applyNumberFormat="1" applyFont="1" applyBorder="1" applyAlignment="1">
      <alignment horizontal="center" vertical="center"/>
    </xf>
    <xf numFmtId="170" fontId="18" fillId="5" borderId="57" xfId="4" applyNumberFormat="1" applyFont="1" applyFill="1" applyBorder="1" applyAlignment="1">
      <alignment horizontal="center" vertical="center"/>
    </xf>
    <xf numFmtId="0" fontId="3" fillId="5" borderId="53" xfId="4" applyNumberFormat="1" applyFont="1" applyFill="1" applyBorder="1" applyAlignment="1">
      <alignment horizontal="center"/>
    </xf>
    <xf numFmtId="3" fontId="61" fillId="21" borderId="37" xfId="0" applyNumberFormat="1" applyFont="1" applyFill="1" applyBorder="1"/>
    <xf numFmtId="3" fontId="61" fillId="21" borderId="33" xfId="0" applyNumberFormat="1" applyFont="1" applyFill="1" applyBorder="1"/>
    <xf numFmtId="3" fontId="61" fillId="21" borderId="35" xfId="0" applyNumberFormat="1" applyFont="1" applyFill="1" applyBorder="1"/>
    <xf numFmtId="3" fontId="61" fillId="0" borderId="37" xfId="0" applyNumberFormat="1" applyFont="1" applyBorder="1"/>
    <xf numFmtId="3" fontId="61" fillId="0" borderId="33" xfId="0" applyNumberFormat="1" applyFont="1" applyBorder="1"/>
    <xf numFmtId="3" fontId="61" fillId="0" borderId="35" xfId="0" applyNumberFormat="1" applyFont="1" applyBorder="1"/>
    <xf numFmtId="164" fontId="9" fillId="9" borderId="24" xfId="4" applyNumberFormat="1" applyFont="1" applyFill="1" applyBorder="1" applyAlignment="1">
      <alignment horizontal="center"/>
    </xf>
    <xf numFmtId="164" fontId="0" fillId="4" borderId="37" xfId="4" applyNumberFormat="1" applyFont="1" applyFill="1" applyBorder="1" applyAlignment="1">
      <alignment horizontal="center" vertical="center" wrapText="1"/>
    </xf>
    <xf numFmtId="164" fontId="3" fillId="5" borderId="34" xfId="4" applyNumberFormat="1" applyFont="1" applyFill="1" applyBorder="1" applyAlignment="1">
      <alignment horizontal="center"/>
    </xf>
    <xf numFmtId="164" fontId="3" fillId="5" borderId="53" xfId="4" applyNumberFormat="1" applyFont="1" applyFill="1" applyBorder="1" applyAlignment="1">
      <alignment horizontal="center"/>
    </xf>
    <xf numFmtId="164" fontId="3" fillId="11" borderId="18" xfId="4" applyNumberFormat="1" applyFont="1" applyFill="1" applyBorder="1" applyAlignment="1">
      <alignment horizontal="center"/>
    </xf>
    <xf numFmtId="0" fontId="65" fillId="0" borderId="0" xfId="0" applyFont="1"/>
    <xf numFmtId="0" fontId="18" fillId="5" borderId="31" xfId="0" applyFont="1" applyFill="1" applyBorder="1"/>
    <xf numFmtId="164" fontId="18" fillId="5" borderId="62" xfId="4" applyNumberFormat="1" applyFont="1" applyFill="1" applyBorder="1" applyAlignment="1"/>
    <xf numFmtId="164" fontId="18" fillId="11" borderId="31" xfId="4" applyNumberFormat="1" applyFont="1" applyFill="1" applyBorder="1" applyAlignment="1"/>
    <xf numFmtId="164" fontId="18" fillId="11" borderId="32" xfId="4" applyNumberFormat="1" applyFont="1" applyFill="1" applyBorder="1" applyAlignment="1"/>
    <xf numFmtId="44" fontId="18" fillId="5" borderId="31" xfId="2" applyFont="1" applyFill="1" applyBorder="1" applyAlignment="1">
      <alignment horizontal="center"/>
    </xf>
    <xf numFmtId="44" fontId="18" fillId="5" borderId="67" xfId="2" applyFont="1" applyFill="1" applyBorder="1" applyAlignment="1">
      <alignment horizontal="center"/>
    </xf>
    <xf numFmtId="170" fontId="18" fillId="11" borderId="31" xfId="4" applyNumberFormat="1" applyFont="1" applyFill="1" applyBorder="1" applyAlignment="1"/>
    <xf numFmtId="170" fontId="18" fillId="11" borderId="67" xfId="4" applyNumberFormat="1" applyFont="1" applyFill="1" applyBorder="1" applyAlignment="1"/>
    <xf numFmtId="0" fontId="44" fillId="0" borderId="78" xfId="0" applyFont="1" applyBorder="1"/>
    <xf numFmtId="0" fontId="2" fillId="0" borderId="78" xfId="0" applyFont="1" applyBorder="1"/>
    <xf numFmtId="0" fontId="68" fillId="0" borderId="0" xfId="0" applyFont="1"/>
    <xf numFmtId="0" fontId="67" fillId="0" borderId="0" xfId="0" applyFont="1" applyAlignment="1">
      <alignment vertical="center"/>
    </xf>
    <xf numFmtId="0" fontId="68" fillId="0" borderId="0" xfId="0" applyFont="1" applyAlignment="1">
      <alignment vertical="center"/>
    </xf>
    <xf numFmtId="0" fontId="70" fillId="0" borderId="0" xfId="0" applyFont="1" applyAlignment="1">
      <alignment vertical="center" wrapText="1"/>
    </xf>
    <xf numFmtId="0" fontId="68" fillId="0" borderId="0" xfId="0" applyFont="1" applyAlignment="1">
      <alignment wrapText="1"/>
    </xf>
    <xf numFmtId="0" fontId="70" fillId="0" borderId="0" xfId="0" applyFont="1" applyAlignment="1">
      <alignment horizontal="left" vertical="center" wrapText="1"/>
    </xf>
    <xf numFmtId="0" fontId="70" fillId="0" borderId="0" xfId="0" applyFont="1" applyAlignment="1">
      <alignment vertical="center"/>
    </xf>
    <xf numFmtId="0" fontId="71" fillId="0" borderId="0" xfId="0" applyFont="1" applyAlignment="1">
      <alignment vertical="center"/>
    </xf>
    <xf numFmtId="0" fontId="67" fillId="0" borderId="0" xfId="0" applyFont="1"/>
    <xf numFmtId="164" fontId="2" fillId="0" borderId="66" xfId="0" applyNumberFormat="1" applyFont="1" applyBorder="1"/>
    <xf numFmtId="0" fontId="14" fillId="0" borderId="18" xfId="0" applyFont="1" applyBorder="1"/>
    <xf numFmtId="9" fontId="3" fillId="21" borderId="18" xfId="1" applyFont="1" applyFill="1" applyBorder="1" applyAlignment="1"/>
    <xf numFmtId="165" fontId="3" fillId="21" borderId="18" xfId="2" applyNumberFormat="1" applyFont="1" applyFill="1" applyBorder="1" applyAlignment="1"/>
    <xf numFmtId="44" fontId="3" fillId="21" borderId="18" xfId="2" applyFont="1" applyFill="1" applyBorder="1" applyAlignment="1">
      <alignment horizontal="right"/>
    </xf>
    <xf numFmtId="164" fontId="3" fillId="21" borderId="18" xfId="4" applyNumberFormat="1" applyFont="1" applyFill="1" applyBorder="1" applyAlignment="1"/>
    <xf numFmtId="166" fontId="3" fillId="21" borderId="18" xfId="4" applyNumberFormat="1" applyFont="1" applyFill="1" applyBorder="1" applyAlignment="1">
      <alignment horizontal="right"/>
    </xf>
    <xf numFmtId="43" fontId="9" fillId="21" borderId="19" xfId="4" applyFont="1" applyFill="1" applyBorder="1" applyAlignment="1"/>
    <xf numFmtId="43" fontId="3" fillId="21" borderId="19" xfId="4" applyFont="1" applyFill="1" applyBorder="1" applyAlignment="1"/>
    <xf numFmtId="9" fontId="3" fillId="21" borderId="5" xfId="1" applyFont="1" applyFill="1" applyBorder="1" applyAlignment="1"/>
    <xf numFmtId="44" fontId="3" fillId="21" borderId="5" xfId="2" applyFont="1" applyFill="1" applyBorder="1" applyAlignment="1">
      <alignment horizontal="right"/>
    </xf>
    <xf numFmtId="166" fontId="3" fillId="21" borderId="5" xfId="4" applyNumberFormat="1" applyFont="1" applyFill="1" applyBorder="1" applyAlignment="1">
      <alignment horizontal="right"/>
    </xf>
    <xf numFmtId="43" fontId="3" fillId="21" borderId="6" xfId="4" applyFont="1" applyFill="1" applyBorder="1" applyAlignment="1"/>
    <xf numFmtId="164" fontId="11" fillId="21" borderId="15" xfId="4" applyNumberFormat="1" applyFont="1" applyFill="1" applyBorder="1" applyAlignment="1">
      <alignment horizontal="center"/>
    </xf>
    <xf numFmtId="170" fontId="11" fillId="21" borderId="15" xfId="4" applyNumberFormat="1" applyFont="1" applyFill="1" applyBorder="1" applyAlignment="1">
      <alignment horizontal="center"/>
    </xf>
    <xf numFmtId="164" fontId="9" fillId="21" borderId="36" xfId="4" applyNumberFormat="1" applyFont="1" applyFill="1" applyBorder="1" applyAlignment="1">
      <alignment horizontal="center"/>
    </xf>
    <xf numFmtId="170" fontId="9" fillId="21" borderId="5" xfId="4" applyNumberFormat="1" applyFont="1" applyFill="1" applyBorder="1" applyAlignment="1">
      <alignment horizontal="center"/>
    </xf>
    <xf numFmtId="164" fontId="3" fillId="21" borderId="15" xfId="4" applyNumberFormat="1" applyFont="1" applyFill="1" applyBorder="1" applyAlignment="1">
      <alignment horizontal="center"/>
    </xf>
    <xf numFmtId="170" fontId="3" fillId="21" borderId="15" xfId="4" applyNumberFormat="1" applyFont="1" applyFill="1" applyBorder="1" applyAlignment="1">
      <alignment horizontal="center"/>
    </xf>
    <xf numFmtId="164" fontId="0" fillId="21" borderId="20" xfId="4" applyNumberFormat="1" applyFont="1" applyFill="1" applyBorder="1" applyAlignment="1">
      <alignment horizontal="center" vertical="center"/>
    </xf>
    <xf numFmtId="164" fontId="0" fillId="21" borderId="21" xfId="4" applyNumberFormat="1" applyFont="1" applyFill="1" applyBorder="1" applyAlignment="1">
      <alignment horizontal="center" vertical="center"/>
    </xf>
    <xf numFmtId="164" fontId="11" fillId="21" borderId="24" xfId="4" applyNumberFormat="1" applyFont="1" applyFill="1" applyBorder="1" applyAlignment="1">
      <alignment horizontal="center"/>
    </xf>
    <xf numFmtId="170" fontId="11" fillId="21" borderId="24" xfId="4" applyNumberFormat="1" applyFont="1" applyFill="1" applyBorder="1" applyAlignment="1">
      <alignment horizontal="center"/>
    </xf>
    <xf numFmtId="170" fontId="0" fillId="21" borderId="62" xfId="4" applyNumberFormat="1" applyFont="1" applyFill="1" applyBorder="1" applyAlignment="1">
      <alignment horizontal="center"/>
    </xf>
    <xf numFmtId="164" fontId="11" fillId="21" borderId="62" xfId="4" applyNumberFormat="1" applyFont="1" applyFill="1" applyBorder="1" applyAlignment="1">
      <alignment horizontal="center"/>
    </xf>
    <xf numFmtId="170" fontId="11" fillId="21" borderId="67" xfId="4" applyNumberFormat="1" applyFont="1" applyFill="1" applyBorder="1" applyAlignment="1">
      <alignment horizontal="center"/>
    </xf>
    <xf numFmtId="164" fontId="3" fillId="21" borderId="54" xfId="4" applyNumberFormat="1" applyFont="1" applyFill="1" applyBorder="1" applyAlignment="1">
      <alignment horizontal="center"/>
    </xf>
    <xf numFmtId="164" fontId="3" fillId="21" borderId="64" xfId="4" applyNumberFormat="1" applyFont="1" applyFill="1" applyBorder="1" applyAlignment="1">
      <alignment horizontal="center"/>
    </xf>
    <xf numFmtId="170" fontId="3" fillId="21" borderId="54" xfId="4" applyNumberFormat="1" applyFont="1" applyFill="1" applyBorder="1" applyAlignment="1">
      <alignment horizontal="center"/>
    </xf>
    <xf numFmtId="164" fontId="3" fillId="21" borderId="18" xfId="4" applyNumberFormat="1" applyFont="1" applyFill="1" applyBorder="1" applyAlignment="1">
      <alignment horizontal="center"/>
    </xf>
    <xf numFmtId="170" fontId="3" fillId="21" borderId="18" xfId="4" applyNumberFormat="1" applyFont="1" applyFill="1" applyBorder="1" applyAlignment="1">
      <alignment horizontal="center"/>
    </xf>
    <xf numFmtId="164" fontId="0" fillId="21" borderId="37" xfId="4" applyNumberFormat="1" applyFont="1" applyFill="1" applyBorder="1" applyAlignment="1">
      <alignment horizontal="center" vertical="center" wrapText="1"/>
    </xf>
    <xf numFmtId="164" fontId="0" fillId="21" borderId="13" xfId="4" applyNumberFormat="1" applyFont="1" applyFill="1" applyBorder="1" applyAlignment="1">
      <alignment horizontal="center" vertical="center" wrapText="1"/>
    </xf>
    <xf numFmtId="164" fontId="0" fillId="21" borderId="15" xfId="4" applyNumberFormat="1" applyFont="1" applyFill="1" applyBorder="1" applyAlignment="1">
      <alignment horizontal="center" vertical="center" wrapText="1"/>
    </xf>
    <xf numFmtId="170" fontId="0" fillId="21" borderId="15" xfId="4" applyNumberFormat="1" applyFont="1" applyFill="1" applyBorder="1" applyAlignment="1">
      <alignment horizontal="center" vertical="center" wrapText="1"/>
    </xf>
    <xf numFmtId="164" fontId="3" fillId="21" borderId="34" xfId="4" applyNumberFormat="1" applyFont="1" applyFill="1" applyBorder="1" applyAlignment="1">
      <alignment horizontal="center"/>
    </xf>
    <xf numFmtId="164" fontId="3" fillId="21" borderId="24" xfId="4" applyNumberFormat="1" applyFont="1" applyFill="1" applyBorder="1" applyAlignment="1">
      <alignment horizontal="center"/>
    </xf>
    <xf numFmtId="170" fontId="3" fillId="21" borderId="24" xfId="4" applyNumberFormat="1" applyFont="1" applyFill="1" applyBorder="1" applyAlignment="1">
      <alignment horizontal="center"/>
    </xf>
    <xf numFmtId="164" fontId="14" fillId="21" borderId="77" xfId="4" applyNumberFormat="1" applyFont="1" applyFill="1" applyBorder="1" applyAlignment="1">
      <alignment horizontal="center"/>
    </xf>
    <xf numFmtId="170" fontId="14" fillId="21" borderId="62" xfId="4" applyNumberFormat="1" applyFont="1" applyFill="1" applyBorder="1" applyAlignment="1">
      <alignment horizontal="center"/>
    </xf>
    <xf numFmtId="164" fontId="25" fillId="21" borderId="62" xfId="4" applyNumberFormat="1" applyFont="1" applyFill="1" applyBorder="1" applyAlignment="1">
      <alignment horizontal="center"/>
    </xf>
    <xf numFmtId="170" fontId="25" fillId="21" borderId="67" xfId="4" applyNumberFormat="1" applyFont="1" applyFill="1" applyBorder="1" applyAlignment="1">
      <alignment horizontal="center"/>
    </xf>
    <xf numFmtId="164" fontId="14" fillId="21" borderId="33" xfId="4" applyNumberFormat="1" applyFont="1" applyFill="1" applyBorder="1" applyAlignment="1">
      <alignment horizontal="center"/>
    </xf>
    <xf numFmtId="170" fontId="17" fillId="21" borderId="15" xfId="4" applyNumberFormat="1" applyFont="1" applyFill="1" applyBorder="1" applyAlignment="1">
      <alignment horizontal="center"/>
    </xf>
    <xf numFmtId="164" fontId="47" fillId="21" borderId="18" xfId="4" applyNumberFormat="1" applyFont="1" applyFill="1" applyBorder="1" applyAlignment="1">
      <alignment horizontal="center"/>
    </xf>
    <xf numFmtId="170" fontId="47" fillId="21" borderId="18" xfId="4" applyNumberFormat="1" applyFont="1" applyFill="1" applyBorder="1" applyAlignment="1">
      <alignment horizontal="center"/>
    </xf>
    <xf numFmtId="164" fontId="14" fillId="21" borderId="35" xfId="4" applyNumberFormat="1" applyFont="1" applyFill="1" applyBorder="1" applyAlignment="1">
      <alignment horizontal="center"/>
    </xf>
    <xf numFmtId="170" fontId="14" fillId="21" borderId="15" xfId="4" applyNumberFormat="1" applyFont="1" applyFill="1" applyBorder="1" applyAlignment="1">
      <alignment horizontal="center"/>
    </xf>
    <xf numFmtId="164" fontId="25" fillId="21" borderId="15" xfId="4" applyNumberFormat="1" applyFont="1" applyFill="1" applyBorder="1" applyAlignment="1">
      <alignment horizontal="center"/>
    </xf>
    <xf numFmtId="170" fontId="25" fillId="21" borderId="15" xfId="4" applyNumberFormat="1" applyFont="1" applyFill="1" applyBorder="1" applyAlignment="1">
      <alignment horizontal="center"/>
    </xf>
    <xf numFmtId="164" fontId="14" fillId="21" borderId="36" xfId="4" applyNumberFormat="1" applyFont="1" applyFill="1" applyBorder="1" applyAlignment="1">
      <alignment horizontal="center"/>
    </xf>
    <xf numFmtId="170" fontId="14" fillId="21" borderId="5" xfId="4" applyNumberFormat="1" applyFont="1" applyFill="1" applyBorder="1" applyAlignment="1">
      <alignment horizontal="center"/>
    </xf>
    <xf numFmtId="164" fontId="3" fillId="21" borderId="53" xfId="4" applyNumberFormat="1" applyFont="1" applyFill="1" applyBorder="1" applyAlignment="1">
      <alignment horizontal="center"/>
    </xf>
    <xf numFmtId="170" fontId="3" fillId="21" borderId="49" xfId="4" applyNumberFormat="1" applyFont="1" applyFill="1" applyBorder="1" applyAlignment="1">
      <alignment horizontal="center"/>
    </xf>
    <xf numFmtId="164" fontId="0" fillId="21" borderId="77" xfId="4" applyNumberFormat="1" applyFont="1" applyFill="1" applyBorder="1" applyAlignment="1">
      <alignment horizontal="center" vertical="center" wrapText="1"/>
    </xf>
    <xf numFmtId="164" fontId="0" fillId="21" borderId="62" xfId="4" applyNumberFormat="1" applyFont="1" applyFill="1" applyBorder="1" applyAlignment="1">
      <alignment horizontal="center" vertical="center" wrapText="1"/>
    </xf>
    <xf numFmtId="164" fontId="0" fillId="21" borderId="37" xfId="4" applyNumberFormat="1" applyFont="1" applyFill="1" applyBorder="1" applyAlignment="1">
      <alignment horizontal="center"/>
    </xf>
    <xf numFmtId="164" fontId="0" fillId="21" borderId="13" xfId="4" applyNumberFormat="1" applyFont="1" applyFill="1" applyBorder="1" applyAlignment="1">
      <alignment horizontal="center"/>
    </xf>
    <xf numFmtId="164" fontId="0" fillId="21" borderId="15" xfId="4" applyNumberFormat="1" applyFont="1" applyFill="1" applyBorder="1" applyAlignment="1">
      <alignment horizontal="center"/>
    </xf>
    <xf numFmtId="170" fontId="0" fillId="21" borderId="15" xfId="4" applyNumberFormat="1" applyFont="1" applyFill="1" applyBorder="1" applyAlignment="1">
      <alignment horizontal="center"/>
    </xf>
    <xf numFmtId="164" fontId="0" fillId="21" borderId="35" xfId="4" applyNumberFormat="1" applyFont="1" applyFill="1" applyBorder="1" applyAlignment="1">
      <alignment horizontal="center"/>
    </xf>
    <xf numFmtId="164" fontId="9" fillId="21" borderId="5" xfId="4" applyNumberFormat="1" applyFont="1" applyFill="1" applyBorder="1" applyAlignment="1">
      <alignment horizontal="center"/>
    </xf>
    <xf numFmtId="164" fontId="0" fillId="21" borderId="67" xfId="4" applyNumberFormat="1" applyFont="1" applyFill="1" applyBorder="1" applyAlignment="1">
      <alignment horizontal="center" vertical="center" wrapText="1"/>
    </xf>
    <xf numFmtId="164" fontId="3" fillId="21" borderId="77" xfId="4" applyNumberFormat="1" applyFont="1" applyFill="1" applyBorder="1" applyAlignment="1">
      <alignment horizontal="center"/>
    </xf>
    <xf numFmtId="164" fontId="3" fillId="21" borderId="62" xfId="4" applyNumberFormat="1" applyFont="1" applyFill="1" applyBorder="1" applyAlignment="1">
      <alignment horizontal="center"/>
    </xf>
    <xf numFmtId="164" fontId="3" fillId="21" borderId="67" xfId="4" applyNumberFormat="1" applyFont="1" applyFill="1" applyBorder="1" applyAlignment="1">
      <alignment horizontal="center"/>
    </xf>
    <xf numFmtId="164" fontId="0" fillId="21" borderId="14" xfId="4" applyNumberFormat="1" applyFont="1" applyFill="1" applyBorder="1" applyAlignment="1">
      <alignment horizontal="center"/>
    </xf>
    <xf numFmtId="164" fontId="17" fillId="21" borderId="35" xfId="4" applyNumberFormat="1" applyFont="1" applyFill="1" applyBorder="1" applyAlignment="1">
      <alignment horizontal="center"/>
    </xf>
    <xf numFmtId="164" fontId="17" fillId="21" borderId="15" xfId="4" applyNumberFormat="1" applyFont="1" applyFill="1" applyBorder="1" applyAlignment="1">
      <alignment horizontal="center"/>
    </xf>
    <xf numFmtId="170" fontId="17" fillId="21" borderId="16" xfId="4" applyNumberFormat="1" applyFont="1" applyFill="1" applyBorder="1" applyAlignment="1"/>
    <xf numFmtId="164" fontId="3" fillId="21" borderId="36" xfId="4" applyNumberFormat="1" applyFont="1" applyFill="1" applyBorder="1" applyAlignment="1">
      <alignment horizontal="center"/>
    </xf>
    <xf numFmtId="164" fontId="3" fillId="21" borderId="5" xfId="4" applyNumberFormat="1" applyFont="1" applyFill="1" applyBorder="1" applyAlignment="1">
      <alignment horizontal="center"/>
    </xf>
    <xf numFmtId="164" fontId="0" fillId="21" borderId="14" xfId="4" applyNumberFormat="1" applyFont="1" applyFill="1" applyBorder="1" applyAlignment="1">
      <alignment horizontal="center" vertical="center" wrapText="1"/>
    </xf>
    <xf numFmtId="165" fontId="3" fillId="21" borderId="24" xfId="0" applyNumberFormat="1" applyFont="1" applyFill="1" applyBorder="1" applyAlignment="1">
      <alignment horizontal="center"/>
    </xf>
    <xf numFmtId="170" fontId="3" fillId="21" borderId="5" xfId="4" applyNumberFormat="1" applyFont="1" applyFill="1" applyBorder="1" applyAlignment="1">
      <alignment horizontal="center"/>
    </xf>
    <xf numFmtId="170" fontId="3" fillId="21" borderId="6" xfId="4" applyNumberFormat="1" applyFont="1" applyFill="1" applyBorder="1" applyAlignment="1">
      <alignment horizontal="center"/>
    </xf>
    <xf numFmtId="165" fontId="3" fillId="21" borderId="49" xfId="4" applyNumberFormat="1" applyFont="1" applyFill="1" applyBorder="1" applyAlignment="1">
      <alignment horizontal="center"/>
    </xf>
    <xf numFmtId="164" fontId="29" fillId="21" borderId="15" xfId="4" applyNumberFormat="1" applyFont="1" applyFill="1" applyBorder="1" applyAlignment="1"/>
    <xf numFmtId="9" fontId="29" fillId="21" borderId="15" xfId="1" applyFont="1" applyFill="1" applyBorder="1" applyAlignment="1"/>
    <xf numFmtId="164" fontId="29" fillId="21" borderId="15" xfId="4" applyNumberFormat="1" applyFont="1" applyFill="1" applyBorder="1"/>
    <xf numFmtId="9" fontId="29" fillId="21" borderId="15" xfId="1" applyFont="1" applyFill="1" applyBorder="1"/>
    <xf numFmtId="0" fontId="0" fillId="0" borderId="40" xfId="0" applyBorder="1" applyAlignment="1">
      <alignment horizontal="left" vertical="center"/>
    </xf>
    <xf numFmtId="0" fontId="6" fillId="4" borderId="41" xfId="0" applyFont="1" applyFill="1" applyBorder="1" applyAlignment="1">
      <alignment horizontal="center" vertical="center"/>
    </xf>
    <xf numFmtId="0" fontId="0" fillId="0" borderId="43" xfId="0" applyBorder="1" applyAlignment="1">
      <alignment horizontal="left" vertical="center" wrapText="1"/>
    </xf>
    <xf numFmtId="0" fontId="0" fillId="0" borderId="52" xfId="0" applyBorder="1" applyAlignment="1">
      <alignment horizontal="left" vertical="center" wrapText="1"/>
    </xf>
    <xf numFmtId="0" fontId="41" fillId="7" borderId="44" xfId="0" applyFont="1" applyFill="1" applyBorder="1" applyAlignment="1">
      <alignment horizontal="center" vertical="center" wrapText="1"/>
    </xf>
    <xf numFmtId="0" fontId="0" fillId="0" borderId="40" xfId="0" applyBorder="1" applyAlignment="1">
      <alignment horizontal="left" vertical="center"/>
    </xf>
    <xf numFmtId="0" fontId="0" fillId="0" borderId="10" xfId="0" applyBorder="1" applyAlignment="1">
      <alignment horizontal="left" vertical="center"/>
    </xf>
    <xf numFmtId="0" fontId="0" fillId="0" borderId="60" xfId="0" applyBorder="1" applyAlignment="1">
      <alignment horizontal="left" vertical="center"/>
    </xf>
    <xf numFmtId="0" fontId="6" fillId="4" borderId="0" xfId="0" applyFont="1" applyFill="1" applyAlignment="1">
      <alignment horizontal="center" vertical="center" wrapText="1"/>
    </xf>
    <xf numFmtId="0" fontId="6" fillId="4" borderId="72" xfId="0" applyFont="1" applyFill="1" applyBorder="1" applyAlignment="1">
      <alignment horizontal="center" vertical="center" wrapText="1"/>
    </xf>
    <xf numFmtId="0" fontId="6" fillId="4" borderId="41" xfId="0" applyFont="1" applyFill="1" applyBorder="1" applyAlignment="1">
      <alignment horizontal="center" vertical="center"/>
    </xf>
    <xf numFmtId="0" fontId="6" fillId="4" borderId="83" xfId="0" applyFont="1" applyFill="1" applyBorder="1" applyAlignment="1">
      <alignment horizontal="center" vertical="center"/>
    </xf>
    <xf numFmtId="0" fontId="6" fillId="4" borderId="63" xfId="0" applyFont="1" applyFill="1" applyBorder="1" applyAlignment="1">
      <alignment horizontal="center" vertical="center"/>
    </xf>
    <xf numFmtId="9" fontId="6" fillId="4" borderId="41" xfId="1" applyFont="1" applyFill="1" applyBorder="1" applyAlignment="1">
      <alignment horizontal="center" vertical="center"/>
    </xf>
    <xf numFmtId="9" fontId="6" fillId="4" borderId="63" xfId="1" applyFont="1" applyFill="1" applyBorder="1" applyAlignment="1">
      <alignment horizontal="center" vertical="center"/>
    </xf>
    <xf numFmtId="0" fontId="0" fillId="0" borderId="3" xfId="0" applyBorder="1" applyAlignment="1">
      <alignment horizontal="left" vertical="center"/>
    </xf>
    <xf numFmtId="0" fontId="0" fillId="0" borderId="26" xfId="0" applyBorder="1" applyAlignment="1">
      <alignment horizontal="left" vertical="center"/>
    </xf>
    <xf numFmtId="0" fontId="0" fillId="0" borderId="7" xfId="0" applyBorder="1" applyAlignment="1">
      <alignment horizontal="left" vertical="center"/>
    </xf>
    <xf numFmtId="0" fontId="0" fillId="0" borderId="46" xfId="0" applyBorder="1" applyAlignment="1">
      <alignment horizontal="left" vertical="center"/>
    </xf>
    <xf numFmtId="0" fontId="0" fillId="0" borderId="61" xfId="0" applyBorder="1" applyAlignment="1">
      <alignment horizontal="left" vertical="center"/>
    </xf>
    <xf numFmtId="0" fontId="0" fillId="0" borderId="69" xfId="0" applyBorder="1" applyAlignment="1">
      <alignment horizontal="left" vertical="center" wrapText="1"/>
    </xf>
    <xf numFmtId="0" fontId="0" fillId="0" borderId="43" xfId="0" applyBorder="1" applyAlignment="1">
      <alignment horizontal="left" vertical="center" wrapText="1"/>
    </xf>
    <xf numFmtId="0" fontId="0" fillId="0" borderId="9" xfId="0" applyBorder="1" applyAlignment="1">
      <alignment horizontal="left" vertical="center" wrapText="1"/>
    </xf>
    <xf numFmtId="0" fontId="0" fillId="0" borderId="44" xfId="0" applyBorder="1" applyAlignment="1">
      <alignment horizontal="left" vertical="center" wrapText="1"/>
    </xf>
    <xf numFmtId="0" fontId="0" fillId="0" borderId="52" xfId="0" applyBorder="1" applyAlignment="1">
      <alignment horizontal="left" vertical="center" wrapText="1"/>
    </xf>
    <xf numFmtId="0" fontId="0" fillId="0" borderId="0" xfId="0" applyAlignment="1">
      <alignment horizontal="center"/>
    </xf>
    <xf numFmtId="0" fontId="0" fillId="0" borderId="78" xfId="0" applyBorder="1" applyAlignment="1">
      <alignment horizontal="center"/>
    </xf>
    <xf numFmtId="165" fontId="0" fillId="19" borderId="29" xfId="2" applyNumberFormat="1" applyFont="1" applyFill="1" applyBorder="1" applyAlignment="1">
      <alignment horizontal="center"/>
    </xf>
    <xf numFmtId="165" fontId="0" fillId="19" borderId="21" xfId="2" applyNumberFormat="1" applyFont="1" applyFill="1" applyBorder="1" applyAlignment="1">
      <alignment horizontal="center"/>
    </xf>
    <xf numFmtId="165" fontId="0" fillId="19" borderId="35" xfId="2" applyNumberFormat="1" applyFont="1" applyFill="1" applyBorder="1" applyAlignment="1">
      <alignment horizontal="center"/>
    </xf>
    <xf numFmtId="0" fontId="6" fillId="4" borderId="38"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7" borderId="41" xfId="0" applyFont="1" applyFill="1" applyBorder="1" applyAlignment="1">
      <alignment horizontal="center" vertical="center"/>
    </xf>
    <xf numFmtId="0" fontId="6" fillId="7" borderId="83" xfId="0" applyFont="1" applyFill="1" applyBorder="1" applyAlignment="1">
      <alignment horizontal="center" vertical="center"/>
    </xf>
    <xf numFmtId="0" fontId="39" fillId="4" borderId="15" xfId="0" applyFont="1" applyFill="1" applyBorder="1" applyAlignment="1">
      <alignment horizontal="center" vertical="center" wrapText="1"/>
    </xf>
    <xf numFmtId="0" fontId="19" fillId="0" borderId="78" xfId="0" applyFont="1" applyBorder="1" applyAlignment="1">
      <alignment horizontal="center"/>
    </xf>
    <xf numFmtId="0" fontId="18" fillId="0" borderId="44" xfId="0" applyFont="1" applyBorder="1" applyAlignment="1">
      <alignment horizontal="left" vertical="center" wrapText="1"/>
    </xf>
    <xf numFmtId="0" fontId="18" fillId="0" borderId="52" xfId="0" applyFont="1" applyBorder="1" applyAlignment="1">
      <alignment horizontal="left" vertical="center" wrapText="1"/>
    </xf>
    <xf numFmtId="0" fontId="18" fillId="6" borderId="69" xfId="0" applyFont="1" applyFill="1" applyBorder="1" applyAlignment="1">
      <alignment horizontal="left" vertical="center"/>
    </xf>
    <xf numFmtId="0" fontId="18" fillId="6" borderId="9" xfId="0" applyFont="1" applyFill="1" applyBorder="1" applyAlignment="1">
      <alignment horizontal="left" vertical="center"/>
    </xf>
    <xf numFmtId="0" fontId="39" fillId="4" borderId="38" xfId="0" applyFont="1" applyFill="1" applyBorder="1" applyAlignment="1">
      <alignment horizontal="center" vertical="center" wrapText="1"/>
    </xf>
    <xf numFmtId="0" fontId="39" fillId="7" borderId="44"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39" fillId="4" borderId="44" xfId="0" applyFont="1" applyFill="1" applyBorder="1" applyAlignment="1">
      <alignment horizontal="center" vertical="center"/>
    </xf>
    <xf numFmtId="0" fontId="39" fillId="4" borderId="1" xfId="0" applyFont="1" applyFill="1" applyBorder="1" applyAlignment="1">
      <alignment horizontal="center" vertical="center"/>
    </xf>
    <xf numFmtId="164" fontId="39" fillId="4" borderId="74" xfId="4" applyNumberFormat="1" applyFont="1" applyFill="1" applyBorder="1" applyAlignment="1">
      <alignment horizontal="center" vertical="center" wrapText="1"/>
    </xf>
    <xf numFmtId="164" fontId="39" fillId="4" borderId="39" xfId="4" applyNumberFormat="1" applyFont="1" applyFill="1" applyBorder="1" applyAlignment="1">
      <alignment horizontal="center" vertical="center" wrapText="1"/>
    </xf>
    <xf numFmtId="164" fontId="39" fillId="7" borderId="45" xfId="4" applyNumberFormat="1" applyFont="1" applyFill="1" applyBorder="1" applyAlignment="1">
      <alignment horizontal="center" vertical="center" wrapText="1"/>
    </xf>
    <xf numFmtId="164" fontId="39" fillId="7" borderId="39" xfId="4" applyNumberFormat="1" applyFont="1" applyFill="1" applyBorder="1" applyAlignment="1">
      <alignment horizontal="center" vertical="center" wrapText="1"/>
    </xf>
    <xf numFmtId="0" fontId="39" fillId="4" borderId="84" xfId="0" applyFont="1" applyFill="1" applyBorder="1" applyAlignment="1">
      <alignment horizontal="center" vertical="center" wrapText="1"/>
    </xf>
    <xf numFmtId="0" fontId="39" fillId="4" borderId="85" xfId="0" applyFont="1" applyFill="1" applyBorder="1" applyAlignment="1">
      <alignment horizontal="center" vertical="center" wrapText="1"/>
    </xf>
    <xf numFmtId="0" fontId="44" fillId="6" borderId="46" xfId="0" applyFont="1" applyFill="1" applyBorder="1" applyAlignment="1">
      <alignment horizontal="left" vertical="center"/>
    </xf>
    <xf numFmtId="0" fontId="44" fillId="6" borderId="47" xfId="0" applyFont="1" applyFill="1" applyBorder="1" applyAlignment="1">
      <alignment horizontal="left" vertical="center"/>
    </xf>
    <xf numFmtId="0" fontId="41" fillId="4" borderId="44" xfId="0" applyFont="1" applyFill="1" applyBorder="1" applyAlignment="1">
      <alignment horizontal="center" vertical="center" wrapText="1"/>
    </xf>
    <xf numFmtId="0" fontId="41" fillId="4" borderId="1" xfId="0" applyFont="1" applyFill="1" applyBorder="1" applyAlignment="1">
      <alignment horizontal="center" vertical="center" wrapText="1"/>
    </xf>
    <xf numFmtId="0" fontId="41" fillId="7" borderId="44" xfId="0" applyFont="1" applyFill="1" applyBorder="1" applyAlignment="1">
      <alignment horizontal="center" vertical="center" wrapText="1"/>
    </xf>
    <xf numFmtId="0" fontId="41" fillId="7" borderId="1" xfId="0" applyFont="1" applyFill="1" applyBorder="1" applyAlignment="1">
      <alignment horizontal="center" vertical="center" wrapText="1"/>
    </xf>
    <xf numFmtId="0" fontId="41" fillId="4" borderId="44" xfId="0" applyFont="1" applyFill="1" applyBorder="1" applyAlignment="1">
      <alignment horizontal="center" vertical="center"/>
    </xf>
    <xf numFmtId="0" fontId="41" fillId="4" borderId="1" xfId="0" applyFont="1" applyFill="1" applyBorder="1" applyAlignment="1">
      <alignment horizontal="center" vertical="center"/>
    </xf>
    <xf numFmtId="164" fontId="42" fillId="4" borderId="45" xfId="4" applyNumberFormat="1" applyFont="1" applyFill="1" applyBorder="1" applyAlignment="1">
      <alignment horizontal="center" vertical="center" wrapText="1"/>
    </xf>
    <xf numFmtId="164" fontId="42" fillId="4" borderId="70" xfId="4" applyNumberFormat="1" applyFont="1" applyFill="1" applyBorder="1" applyAlignment="1">
      <alignment horizontal="center" vertical="center" wrapText="1"/>
    </xf>
    <xf numFmtId="164" fontId="42" fillId="7" borderId="45" xfId="4" applyNumberFormat="1" applyFont="1" applyFill="1" applyBorder="1" applyAlignment="1">
      <alignment horizontal="center" vertical="center" wrapText="1"/>
    </xf>
    <xf numFmtId="164" fontId="42" fillId="7" borderId="70" xfId="4" applyNumberFormat="1" applyFont="1" applyFill="1" applyBorder="1" applyAlignment="1">
      <alignment horizontal="center" vertical="center" wrapText="1"/>
    </xf>
    <xf numFmtId="0" fontId="42" fillId="4" borderId="41" xfId="0" applyFont="1" applyFill="1" applyBorder="1" applyAlignment="1">
      <alignment horizontal="center" vertical="center" wrapText="1"/>
    </xf>
    <xf numFmtId="0" fontId="42" fillId="4" borderId="63" xfId="0" applyFont="1" applyFill="1" applyBorder="1" applyAlignment="1">
      <alignment horizontal="center" vertical="center" wrapText="1"/>
    </xf>
    <xf numFmtId="0" fontId="42" fillId="4" borderId="45" xfId="0" applyFont="1" applyFill="1" applyBorder="1" applyAlignment="1">
      <alignment horizontal="center" vertical="center" wrapText="1"/>
    </xf>
    <xf numFmtId="0" fontId="42" fillId="4" borderId="70" xfId="0" applyFont="1" applyFill="1" applyBorder="1" applyAlignment="1">
      <alignment horizontal="center" vertical="center" wrapText="1"/>
    </xf>
    <xf numFmtId="165" fontId="21" fillId="0" borderId="45" xfId="2" applyNumberFormat="1" applyFont="1" applyFill="1" applyBorder="1" applyAlignment="1">
      <alignment horizontal="center"/>
    </xf>
    <xf numFmtId="165" fontId="21" fillId="0" borderId="39" xfId="2" applyNumberFormat="1" applyFont="1" applyFill="1" applyBorder="1" applyAlignment="1">
      <alignment horizontal="center"/>
    </xf>
    <xf numFmtId="0" fontId="21" fillId="0" borderId="50" xfId="0" applyFont="1" applyBorder="1" applyAlignment="1">
      <alignment horizontal="left" vertical="center" wrapText="1"/>
    </xf>
    <xf numFmtId="0" fontId="21" fillId="0" borderId="20" xfId="0" applyFont="1" applyBorder="1" applyAlignment="1">
      <alignment horizontal="left" vertical="center" wrapText="1"/>
    </xf>
    <xf numFmtId="0" fontId="21" fillId="0" borderId="51" xfId="0" applyFont="1" applyBorder="1" applyAlignment="1">
      <alignment horizontal="left" vertical="center" wrapText="1"/>
    </xf>
    <xf numFmtId="0" fontId="8" fillId="4" borderId="15"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4" borderId="55" xfId="0" applyFont="1" applyFill="1" applyBorder="1" applyAlignment="1">
      <alignment horizontal="center" vertical="center" wrapText="1"/>
    </xf>
    <xf numFmtId="0" fontId="51" fillId="0" borderId="0" xfId="10" applyFont="1" applyAlignment="1">
      <alignment horizontal="left" vertical="center" wrapText="1"/>
    </xf>
    <xf numFmtId="0" fontId="31" fillId="0" borderId="0" xfId="10" applyAlignment="1">
      <alignment horizontal="left" vertical="top" wrapText="1"/>
    </xf>
    <xf numFmtId="0" fontId="49" fillId="0" borderId="0" xfId="10" applyFont="1" applyAlignment="1">
      <alignment horizontal="left" vertical="top" wrapText="1"/>
    </xf>
    <xf numFmtId="0" fontId="31" fillId="0" borderId="0" xfId="10" applyAlignment="1">
      <alignment horizontal="left" wrapText="1"/>
    </xf>
    <xf numFmtId="0" fontId="45" fillId="18" borderId="29" xfId="10" applyFont="1" applyFill="1" applyBorder="1" applyAlignment="1">
      <alignment horizontal="center" vertical="center"/>
    </xf>
    <xf numFmtId="0" fontId="45" fillId="18" borderId="21" xfId="10" applyFont="1" applyFill="1" applyBorder="1" applyAlignment="1">
      <alignment horizontal="center" vertical="center"/>
    </xf>
    <xf numFmtId="0" fontId="45" fillId="18" borderId="35" xfId="10" applyFont="1" applyFill="1" applyBorder="1" applyAlignment="1">
      <alignment horizontal="center" vertical="center"/>
    </xf>
    <xf numFmtId="0" fontId="49" fillId="0" borderId="66" xfId="10" applyFont="1" applyBorder="1" applyAlignment="1">
      <alignment vertical="top" wrapText="1"/>
    </xf>
    <xf numFmtId="0" fontId="50" fillId="0" borderId="66" xfId="0" applyFont="1" applyBorder="1" applyAlignment="1">
      <alignment vertical="top"/>
    </xf>
  </cellXfs>
  <cellStyles count="15">
    <cellStyle name="Bad" xfId="8"/>
    <cellStyle name="Comma" xfId="4"/>
    <cellStyle name="Comma [0]" xfId="5"/>
    <cellStyle name="Currency" xfId="2"/>
    <cellStyle name="Currency [0]" xfId="3"/>
    <cellStyle name="Good" xfId="7"/>
    <cellStyle name="Hyperlink" xfId="11"/>
    <cellStyle name="Normal" xfId="0" builtinId="0"/>
    <cellStyle name="Normal 10 2" xfId="6"/>
    <cellStyle name="Normal 2" xfId="10"/>
    <cellStyle name="Normal 2 2" xfId="13"/>
    <cellStyle name="Normal 2 3" xfId="12"/>
    <cellStyle name="Normal 4" xfId="14"/>
    <cellStyle name="Normal_Revised Exhibit 1_021810_Eberts" xfId="9"/>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latin typeface="+mn-lt"/>
                <a:ea typeface="+mn-lt"/>
                <a:cs typeface="+mn-lt"/>
              </a:rPr>
              <a:t>Annual Savings - Primary vs Secondary Metrics</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dLbl>
              <c:idx val="0"/>
              <c:layout>
                <c:manualLayout>
                  <c:x val="-2.5000000000000001E-3"/>
                  <c:y val="0.258000000000000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4A-415E-80F0-169F98E62CD0}"/>
                </c:ext>
              </c:extLst>
            </c:dLbl>
            <c:dLbl>
              <c:idx val="1"/>
              <c:layout>
                <c:manualLayout>
                  <c:x val="0"/>
                  <c:y val="0.241499999999999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4A-415E-80F0-169F98E62CD0}"/>
                </c:ext>
              </c:extLst>
            </c:dLbl>
            <c:spPr>
              <a:solidFill>
                <a:schemeClr val="bg1"/>
              </a:solidFill>
              <a:ln>
                <a:noFill/>
              </a:ln>
              <a:effectLst/>
            </c:spPr>
            <c:txPr>
              <a:bodyPr rot="0" vert="horz"/>
              <a:lstStyle/>
              <a:p>
                <a:pPr algn="ctr">
                  <a:defRPr lang="en-US" sz="900" b="0" i="0" u="none" baseline="0">
                    <a:solidFill>
                      <a:schemeClr val="tx1">
                        <a:lumMod val="75000"/>
                        <a:lumOff val="25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strRef>
              <c:f>'AP F -TRM Secondary Metrics'!$H$6:$I$6</c:f>
              <c:strCache>
                <c:ptCount val="2"/>
                <c:pt idx="0">
                  <c:v>Primary Metrics</c:v>
                </c:pt>
                <c:pt idx="1">
                  <c:v>Secondary Metrics</c:v>
                </c:pt>
              </c:strCache>
            </c:strRef>
          </c:cat>
          <c:val>
            <c:numRef>
              <c:f>'AP F -TRM Secondary Metrics'!$H$7:$I$7</c:f>
              <c:numCache>
                <c:formatCode>_(* #,##0_);_(* \(#,##0\);_(* "-"??_);_(@_)</c:formatCode>
                <c:ptCount val="2"/>
                <c:pt idx="0">
                  <c:v>0</c:v>
                </c:pt>
                <c:pt idx="1">
                  <c:v>0</c:v>
                </c:pt>
              </c:numCache>
            </c:numRef>
          </c:val>
          <c:extLst>
            <c:ext xmlns:c16="http://schemas.microsoft.com/office/drawing/2014/chart" uri="{C3380CC4-5D6E-409C-BE32-E72D297353CC}">
              <c16:uniqueId val="{00000000-03B7-4DD9-8F38-1FB06716EE98}"/>
            </c:ext>
          </c:extLst>
        </c:ser>
        <c:dLbls>
          <c:showLegendKey val="0"/>
          <c:showVal val="0"/>
          <c:showCatName val="0"/>
          <c:showSerName val="0"/>
          <c:showPercent val="0"/>
          <c:showBubbleSize val="0"/>
        </c:dLbls>
        <c:gapWidth val="219"/>
        <c:overlap val="-27"/>
        <c:axId val="38572353"/>
        <c:axId val="31068813"/>
      </c:barChart>
      <c:catAx>
        <c:axId val="38572353"/>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a:lstStyle/>
          <a:p>
            <a:pPr>
              <a:defRPr lang="en-US" sz="900" b="0" i="0" u="none" baseline="0">
                <a:solidFill>
                  <a:schemeClr val="tx1">
                    <a:lumMod val="65000"/>
                    <a:lumOff val="35000"/>
                  </a:schemeClr>
                </a:solidFill>
              </a:defRPr>
            </a:pPr>
            <a:endParaRPr lang="en-US"/>
          </a:p>
        </c:txPr>
        <c:crossAx val="31068813"/>
        <c:crosses val="autoZero"/>
        <c:auto val="1"/>
        <c:lblAlgn val="ctr"/>
        <c:lblOffset val="100"/>
        <c:noMultiLvlLbl val="0"/>
      </c:catAx>
      <c:valAx>
        <c:axId val="31068813"/>
        <c:scaling>
          <c:orientation val="minMax"/>
          <c:min val="0"/>
        </c:scaling>
        <c:delete val="0"/>
        <c:axPos val="l"/>
        <c:majorGridlines>
          <c:spPr>
            <a:ln w="9525" cap="flat" cmpd="sng">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a:lstStyle/>
          <a:p>
            <a:pPr>
              <a:defRPr lang="en-US" sz="900" b="0" i="0" u="none" baseline="0">
                <a:solidFill>
                  <a:schemeClr val="tx1">
                    <a:lumMod val="65000"/>
                    <a:lumOff val="35000"/>
                  </a:schemeClr>
                </a:solidFill>
              </a:defRPr>
            </a:pPr>
            <a:endParaRPr lang="en-US"/>
          </a:p>
        </c:txPr>
        <c:crossAx val="38572353"/>
        <c:crosses val="autoZero"/>
        <c:crossBetween val="between"/>
      </c:valAx>
      <c:spPr>
        <a:noFill/>
        <a:ln>
          <a:noFill/>
        </a:ln>
        <a:effectLst/>
      </c:spPr>
    </c:plotArea>
    <c:plotVisOnly val="1"/>
    <c:dispBlanksAs val="gap"/>
    <c:showDLblsOverMax val="1"/>
  </c:chart>
  <c:spPr>
    <a:solidFill>
      <a:schemeClr val="bg1"/>
    </a:solidFill>
    <a:ln w="9525" cap="flat" cmpd="sng">
      <a:solidFill>
        <a:schemeClr val="tx1">
          <a:lumMod val="15000"/>
          <a:lumOff val="85000"/>
        </a:schemeClr>
      </a:solidFill>
      <a:round/>
    </a:ln>
    <a:effectLst/>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cid:image003.png@01D8F439.3A0F15D0" TargetMode="External"/><Relationship Id="rId1" Type="http://schemas.openxmlformats.org/officeDocument/2006/relationships/image" Target="../media/image2.png"/><Relationship Id="rId6" Type="http://schemas.openxmlformats.org/officeDocument/2006/relationships/image" Target="cid:image006.png@01D8F439.3A0F15D0" TargetMode="External"/><Relationship Id="rId5" Type="http://schemas.openxmlformats.org/officeDocument/2006/relationships/image" Target="../media/image4.png"/><Relationship Id="rId4" Type="http://schemas.openxmlformats.org/officeDocument/2006/relationships/image" Target="cid:image005.png@01D8F439.3A0F15D0" TargetMode="External"/></Relationships>
</file>

<file path=xl/drawings/drawing1.xml><?xml version="1.0" encoding="utf-8"?>
<xdr:wsDr xmlns:xdr="http://schemas.openxmlformats.org/drawingml/2006/spreadsheetDrawing" xmlns:a="http://schemas.openxmlformats.org/drawingml/2006/main">
  <xdr:twoCellAnchor>
    <xdr:from>
      <xdr:col>3</xdr:col>
      <xdr:colOff>0</xdr:colOff>
      <xdr:row>30</xdr:row>
      <xdr:rowOff>0</xdr:rowOff>
    </xdr:from>
    <xdr:to>
      <xdr:col>12</xdr:col>
      <xdr:colOff>0</xdr:colOff>
      <xdr:row>59</xdr:row>
      <xdr:rowOff>78442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419850" y="6991350"/>
          <a:ext cx="8991600" cy="5600700"/>
        </a:xfrm>
        <a:prstGeom prst="rect">
          <a:avLst/>
        </a:prstGeom>
        <a:solidFill>
          <a:schemeClr val="bg1"/>
        </a:solidFill>
        <a:ln w="9525" cmpd="sng">
          <a:solidFill>
            <a:schemeClr val="lt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742950</xdr:colOff>
      <xdr:row>27</xdr:row>
      <xdr:rowOff>95250</xdr:rowOff>
    </xdr:from>
    <xdr:ext cx="4067175" cy="2286000"/>
    <xdr:pic>
      <xdr:nvPicPr>
        <xdr:cNvPr id="3" name="Picture 1">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9544050" y="6105525"/>
          <a:ext cx="4067175" cy="2286000"/>
        </a:xfrm>
        <a:prstGeom prst="rect">
          <a:avLst/>
        </a:prstGeom>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19</xdr:row>
      <xdr:rowOff>0</xdr:rowOff>
    </xdr:to>
    <xdr:graphicFrame macro="">
      <xdr:nvGraphicFramePr>
        <xdr:cNvPr id="5" name="Chart 1">
          <a:extLst>
            <a:ext uri="{FF2B5EF4-FFF2-40B4-BE49-F238E27FC236}">
              <a16:creationId xmlns:a16="http://schemas.microsoft.com/office/drawing/2014/main" id="{00000000-0008-0000-0E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85725</xdr:colOff>
      <xdr:row>5</xdr:row>
      <xdr:rowOff>19049</xdr:rowOff>
    </xdr:from>
    <xdr:to>
      <xdr:col>2</xdr:col>
      <xdr:colOff>3771900</xdr:colOff>
      <xdr:row>10</xdr:row>
      <xdr:rowOff>952499</xdr:rowOff>
    </xdr:to>
    <xdr:pic>
      <xdr:nvPicPr>
        <xdr:cNvPr id="2" name="Picture 1" descr="cid:image003.png@01D8F439.3A0F15D0">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tretch>
          <a:fillRect/>
        </a:stretch>
      </xdr:blipFill>
      <xdr:spPr bwMode="auto">
        <a:xfrm>
          <a:off x="5715000" y="1076325"/>
          <a:ext cx="3686175" cy="242887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18</xdr:row>
      <xdr:rowOff>57151</xdr:rowOff>
    </xdr:from>
    <xdr:to>
      <xdr:col>3</xdr:col>
      <xdr:colOff>3133725</xdr:colOff>
      <xdr:row>18</xdr:row>
      <xdr:rowOff>1600201</xdr:rowOff>
    </xdr:to>
    <xdr:pic>
      <xdr:nvPicPr>
        <xdr:cNvPr id="3" name="Picture 1" descr="cid:image005.png@01D8F439.3A0F15D0">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3" r:link="rId4">
          <a:extLst>
            <a:ext uri="{28A0092B-C50C-407E-A947-70E740481C1C}">
              <a14:useLocalDpi xmlns:a14="http://schemas.microsoft.com/office/drawing/2010/main" val="0"/>
            </a:ext>
          </a:extLst>
        </a:blip>
        <a:stretch>
          <a:fillRect/>
        </a:stretch>
      </xdr:blipFill>
      <xdr:spPr bwMode="auto">
        <a:xfrm>
          <a:off x="295275" y="5248275"/>
          <a:ext cx="12515850" cy="15430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142875</xdr:colOff>
      <xdr:row>21</xdr:row>
      <xdr:rowOff>76202</xdr:rowOff>
    </xdr:from>
    <xdr:to>
      <xdr:col>3</xdr:col>
      <xdr:colOff>1400175</xdr:colOff>
      <xdr:row>29</xdr:row>
      <xdr:rowOff>265127</xdr:rowOff>
    </xdr:to>
    <xdr:pic>
      <xdr:nvPicPr>
        <xdr:cNvPr id="4" name="Picture 2" descr="cid:image006.png@01D8F439.3A0F15D0">
          <a:extLst>
            <a:ext uri="{FF2B5EF4-FFF2-40B4-BE49-F238E27FC236}">
              <a16:creationId xmlns:a16="http://schemas.microsoft.com/office/drawing/2014/main" id="{00000000-0008-0000-1300-000004000000}"/>
            </a:ext>
          </a:extLst>
        </xdr:cNvPr>
        <xdr:cNvPicPr>
          <a:picLocks noChangeAspect="1"/>
        </xdr:cNvPicPr>
      </xdr:nvPicPr>
      <xdr:blipFill>
        <a:blip xmlns:r="http://schemas.openxmlformats.org/officeDocument/2006/relationships" r:embed="rId5" r:link="rId6">
          <a:extLst>
            <a:ext uri="{28A0092B-C50C-407E-A947-70E740481C1C}">
              <a14:useLocalDpi xmlns:a14="http://schemas.microsoft.com/office/drawing/2010/main" val="0"/>
            </a:ext>
          </a:extLst>
        </a:blip>
        <a:stretch>
          <a:fillRect/>
        </a:stretch>
      </xdr:blipFill>
      <xdr:spPr bwMode="auto">
        <a:xfrm>
          <a:off x="5772150" y="7381875"/>
          <a:ext cx="5305425" cy="282892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4659260841701"/>
    <pageSetUpPr fitToPage="1"/>
  </sheetPr>
  <dimension ref="A1:Y30"/>
  <sheetViews>
    <sheetView workbookViewId="0"/>
  </sheetViews>
  <sheetFormatPr defaultColWidth="9.453125" defaultRowHeight="14.5" x14ac:dyDescent="0.35"/>
  <cols>
    <col min="1" max="1" width="13.453125" customWidth="1"/>
    <col min="2" max="2" width="46.453125" customWidth="1"/>
    <col min="3" max="3" width="36.453125" bestFit="1" customWidth="1"/>
    <col min="4" max="4" width="14.453125" style="2" customWidth="1"/>
    <col min="5" max="5" width="14.453125" style="3" customWidth="1"/>
    <col min="6" max="6" width="16.453125" customWidth="1"/>
    <col min="7" max="8" width="13.453125" style="4" customWidth="1"/>
    <col min="9" max="9" width="16.453125" style="5" customWidth="1"/>
    <col min="10" max="11" width="15.453125" customWidth="1"/>
    <col min="12" max="12" width="15.453125" style="2" customWidth="1"/>
    <col min="13" max="13" width="18.453125" style="3" customWidth="1"/>
    <col min="14" max="14" width="13.453125" style="3" customWidth="1"/>
    <col min="15" max="15" width="13.453125" customWidth="1"/>
    <col min="19" max="19" width="9.453125" customWidth="1"/>
  </cols>
  <sheetData>
    <row r="1" spans="1:14" ht="23.5" x14ac:dyDescent="0.55000000000000004">
      <c r="A1" s="1" t="s">
        <v>0</v>
      </c>
    </row>
    <row r="2" spans="1:14" x14ac:dyDescent="0.35">
      <c r="E2" s="97" t="s">
        <v>1</v>
      </c>
    </row>
    <row r="3" spans="1:14" ht="18.5" x14ac:dyDescent="0.45">
      <c r="A3" s="6">
        <v>1</v>
      </c>
      <c r="B3" s="6"/>
      <c r="C3" s="6"/>
      <c r="I3" s="4"/>
    </row>
    <row r="4" spans="1:14" ht="15" thickBot="1" x14ac:dyDescent="0.4"/>
    <row r="5" spans="1:14" ht="43.5" customHeight="1" thickBot="1" x14ac:dyDescent="0.4">
      <c r="A5" t="s">
        <v>2</v>
      </c>
      <c r="B5" s="934" t="s">
        <v>3</v>
      </c>
      <c r="C5" s="935"/>
      <c r="D5" s="936" t="s">
        <v>4</v>
      </c>
      <c r="E5" s="937"/>
      <c r="F5" s="938"/>
      <c r="G5" s="939" t="s">
        <v>5</v>
      </c>
      <c r="H5" s="940"/>
      <c r="I5" s="936" t="s">
        <v>6</v>
      </c>
      <c r="J5" s="937"/>
      <c r="K5" s="938"/>
      <c r="L5" s="927" t="s">
        <v>7</v>
      </c>
      <c r="M5" s="7" t="s">
        <v>8</v>
      </c>
      <c r="N5" s="8" t="s">
        <v>9</v>
      </c>
    </row>
    <row r="6" spans="1:14" ht="21" customHeight="1" x14ac:dyDescent="0.35">
      <c r="B6" s="934"/>
      <c r="C6" s="935"/>
      <c r="D6" s="101" t="s">
        <v>10</v>
      </c>
      <c r="E6" s="102" t="s">
        <v>11</v>
      </c>
      <c r="F6" s="103" t="s">
        <v>12</v>
      </c>
      <c r="G6" s="101" t="s">
        <v>13</v>
      </c>
      <c r="H6" s="103" t="s">
        <v>14</v>
      </c>
      <c r="I6" s="101" t="s">
        <v>15</v>
      </c>
      <c r="J6" s="102" t="s">
        <v>16</v>
      </c>
      <c r="K6" s="103"/>
      <c r="L6" s="9" t="s">
        <v>17</v>
      </c>
      <c r="M6" s="11" t="s">
        <v>18</v>
      </c>
      <c r="N6" s="10" t="s">
        <v>19</v>
      </c>
    </row>
    <row r="7" spans="1:14" ht="52.5" customHeight="1" thickBot="1" x14ac:dyDescent="0.4">
      <c r="B7" s="934"/>
      <c r="C7" s="935"/>
      <c r="D7" s="98" t="s">
        <v>20</v>
      </c>
      <c r="E7" s="12" t="s">
        <v>21</v>
      </c>
      <c r="F7" s="13" t="s">
        <v>22</v>
      </c>
      <c r="G7" s="14" t="s">
        <v>23</v>
      </c>
      <c r="H7" s="99" t="s">
        <v>24</v>
      </c>
      <c r="I7" s="14" t="s">
        <v>25</v>
      </c>
      <c r="J7" s="15" t="s">
        <v>26</v>
      </c>
      <c r="K7" s="100" t="s">
        <v>27</v>
      </c>
      <c r="L7" s="16" t="s">
        <v>28</v>
      </c>
      <c r="M7" s="17" t="s">
        <v>29</v>
      </c>
      <c r="N7" s="18" t="s">
        <v>30</v>
      </c>
    </row>
    <row r="8" spans="1:14" ht="15" thickBot="1" x14ac:dyDescent="0.4">
      <c r="B8" s="19" t="s">
        <v>31</v>
      </c>
      <c r="C8" s="106" t="s">
        <v>32</v>
      </c>
      <c r="D8" s="20"/>
      <c r="E8" s="20"/>
      <c r="F8" s="21"/>
      <c r="G8" s="22"/>
      <c r="H8" s="22"/>
      <c r="I8" s="23"/>
      <c r="J8" s="24"/>
      <c r="K8" s="24"/>
      <c r="L8" s="21"/>
      <c r="M8" s="25"/>
      <c r="N8" s="26"/>
    </row>
    <row r="9" spans="1:14" ht="15" thickBot="1" x14ac:dyDescent="0.4">
      <c r="B9" s="926" t="s">
        <v>33</v>
      </c>
      <c r="C9" s="107" t="s">
        <v>33</v>
      </c>
      <c r="D9" s="27"/>
      <c r="E9" s="28"/>
      <c r="F9" s="29"/>
      <c r="G9" s="30"/>
      <c r="H9" s="30"/>
      <c r="I9" s="104"/>
      <c r="J9" s="32" t="str">
        <f>IF(ISERROR(I9/(D9*1000)),"N/A",IF((I9/(D9*1000))&lt;0.01,"&lt;$0.01",(I9/(D9*1000))))</f>
        <v>N/A</v>
      </c>
      <c r="K9" s="32" t="str">
        <f t="shared" ref="K9:K14" si="0">IF(ISERROR(I9/(F9*1000)),"N/A",IF((I9/(F9*1000))&lt;0.01,"&lt;$0.01",(I9/(F9*1000))))</f>
        <v>N/A</v>
      </c>
      <c r="L9" s="29"/>
      <c r="M9" s="33" t="str">
        <f t="shared" ref="M9:M14" si="1">IF(ISERROR(F9/D9),"N/A",F9/D9)</f>
        <v>N/A</v>
      </c>
      <c r="N9" s="34"/>
    </row>
    <row r="10" spans="1:14" x14ac:dyDescent="0.35">
      <c r="B10" s="941" t="s">
        <v>34</v>
      </c>
      <c r="C10" s="107" t="s">
        <v>35</v>
      </c>
      <c r="D10" s="121"/>
      <c r="E10" s="120"/>
      <c r="F10" s="119"/>
      <c r="G10" s="122"/>
      <c r="H10" s="122"/>
      <c r="I10" s="123"/>
      <c r="J10" s="124"/>
      <c r="K10" s="124"/>
      <c r="L10" s="119"/>
      <c r="M10" s="125"/>
      <c r="N10" s="126"/>
    </row>
    <row r="11" spans="1:14" x14ac:dyDescent="0.35">
      <c r="B11" s="942"/>
      <c r="C11" s="108" t="s">
        <v>36</v>
      </c>
      <c r="D11" s="121"/>
      <c r="E11" s="120"/>
      <c r="F11" s="119"/>
      <c r="G11" s="122"/>
      <c r="H11" s="122"/>
      <c r="I11" s="123"/>
      <c r="J11" s="124"/>
      <c r="K11" s="124"/>
      <c r="L11" s="119"/>
      <c r="M11" s="125"/>
      <c r="N11" s="126"/>
    </row>
    <row r="12" spans="1:14" ht="15" thickBot="1" x14ac:dyDescent="0.4">
      <c r="B12" s="943"/>
      <c r="C12" s="109" t="s">
        <v>37</v>
      </c>
      <c r="D12" s="35"/>
      <c r="E12" s="35"/>
      <c r="F12" s="35"/>
      <c r="G12" s="36"/>
      <c r="H12" s="36"/>
      <c r="I12" s="105"/>
      <c r="J12" s="38" t="str">
        <f t="shared" ref="J12:J14" si="2">IF(ISERROR(I12/(D12*1000)),"N/A",IF((I12/(D12*1000))&lt;0.01,"&lt;$0.01",(I12/(D12*1000))))</f>
        <v>N/A</v>
      </c>
      <c r="K12" s="40" t="str">
        <f t="shared" si="0"/>
        <v>N/A</v>
      </c>
      <c r="L12" s="35"/>
      <c r="M12" s="41" t="str">
        <f t="shared" si="1"/>
        <v>N/A</v>
      </c>
      <c r="N12" s="39"/>
    </row>
    <row r="13" spans="1:14" ht="20.25" customHeight="1" thickBot="1" x14ac:dyDescent="0.4">
      <c r="B13" s="110" t="s">
        <v>38</v>
      </c>
      <c r="C13" s="111" t="s">
        <v>39</v>
      </c>
      <c r="D13" s="43"/>
      <c r="E13" s="43"/>
      <c r="F13" s="43"/>
      <c r="G13" s="44"/>
      <c r="H13" s="44"/>
      <c r="I13" s="45"/>
      <c r="J13" s="46" t="str">
        <f t="shared" si="2"/>
        <v>N/A</v>
      </c>
      <c r="K13" s="46" t="str">
        <f t="shared" si="0"/>
        <v>N/A</v>
      </c>
      <c r="L13" s="43"/>
      <c r="M13" s="47" t="str">
        <f t="shared" si="1"/>
        <v>N/A</v>
      </c>
      <c r="N13" s="48"/>
    </row>
    <row r="14" spans="1:14" x14ac:dyDescent="0.35">
      <c r="B14" s="54" t="s">
        <v>40</v>
      </c>
      <c r="C14" s="112"/>
      <c r="D14" s="55"/>
      <c r="E14" s="56"/>
      <c r="F14" s="55"/>
      <c r="G14" s="847"/>
      <c r="H14" s="847"/>
      <c r="I14" s="848"/>
      <c r="J14" s="849" t="str">
        <f t="shared" si="2"/>
        <v>N/A</v>
      </c>
      <c r="K14" s="849" t="str">
        <f t="shared" si="0"/>
        <v>N/A</v>
      </c>
      <c r="L14" s="850"/>
      <c r="M14" s="851" t="str">
        <f t="shared" si="1"/>
        <v>N/A</v>
      </c>
      <c r="N14" s="852"/>
    </row>
    <row r="15" spans="1:14" x14ac:dyDescent="0.35">
      <c r="B15" s="57"/>
      <c r="C15" s="58"/>
      <c r="D15" s="58"/>
      <c r="E15" s="58"/>
      <c r="F15" s="58"/>
      <c r="G15" s="58"/>
      <c r="H15" s="58"/>
      <c r="I15" s="58"/>
      <c r="J15" s="58"/>
      <c r="K15" s="58"/>
      <c r="L15" s="58"/>
      <c r="M15" s="58"/>
      <c r="N15" s="59"/>
    </row>
    <row r="16" spans="1:14" ht="15" thickBot="1" x14ac:dyDescent="0.4">
      <c r="B16" s="60" t="s">
        <v>41</v>
      </c>
      <c r="C16" s="113"/>
      <c r="D16" s="61"/>
      <c r="E16" s="61"/>
      <c r="F16" s="61"/>
      <c r="G16" s="62"/>
      <c r="H16" s="62"/>
      <c r="I16" s="63"/>
      <c r="J16" s="64"/>
      <c r="K16" s="64"/>
      <c r="L16" s="61"/>
      <c r="M16" s="65"/>
      <c r="N16" s="66"/>
    </row>
    <row r="17" spans="2:25" ht="15" thickBot="1" x14ac:dyDescent="0.4">
      <c r="B17" s="114" t="s">
        <v>42</v>
      </c>
      <c r="C17" s="111" t="s">
        <v>43</v>
      </c>
      <c r="D17" s="27"/>
      <c r="E17" s="28"/>
      <c r="F17" s="49"/>
      <c r="G17" s="49"/>
      <c r="H17" s="49"/>
      <c r="I17" s="31"/>
      <c r="J17" s="67"/>
      <c r="K17" s="50"/>
      <c r="L17" s="29"/>
      <c r="M17" s="51"/>
      <c r="N17" s="52"/>
    </row>
    <row r="18" spans="2:25" ht="19.5" customHeight="1" thickBot="1" x14ac:dyDescent="0.4">
      <c r="B18" s="931" t="s">
        <v>44</v>
      </c>
      <c r="C18" s="107" t="s">
        <v>45</v>
      </c>
      <c r="D18" s="27"/>
      <c r="E18" s="28"/>
      <c r="F18" s="49"/>
      <c r="G18" s="49"/>
      <c r="H18" s="49"/>
      <c r="I18" s="31"/>
      <c r="J18" s="67"/>
      <c r="K18" s="50"/>
      <c r="L18" s="29"/>
      <c r="M18" s="51"/>
      <c r="N18" s="52"/>
    </row>
    <row r="19" spans="2:25" x14ac:dyDescent="0.35">
      <c r="B19" s="932"/>
      <c r="C19" s="108" t="s">
        <v>46</v>
      </c>
      <c r="D19" s="27"/>
      <c r="E19" s="28"/>
      <c r="F19" s="49"/>
      <c r="G19" s="49"/>
      <c r="H19" s="49"/>
      <c r="I19" s="31"/>
      <c r="J19" s="67" t="str">
        <f>IF(ISERROR(I19/(D19*1000)),"N/A",IF((I19/(D19*1000))&lt;0.01,"&lt;$0.01",(I19/(D19*1000))))</f>
        <v>N/A</v>
      </c>
      <c r="K19" s="50" t="str">
        <f>IF(ISERROR(I19/(F19*1000)),"N/A",IF((I19/(F19*1000))&lt;0.01,"&lt;$0.01",(I19/(F19*1000))))</f>
        <v>N/A</v>
      </c>
      <c r="L19" s="29"/>
      <c r="M19" s="51" t="str">
        <f>IF(ISERROR(F19/D19),"N/A",F19/D19)</f>
        <v>N/A</v>
      </c>
      <c r="N19" s="52"/>
    </row>
    <row r="20" spans="2:25" ht="15" thickBot="1" x14ac:dyDescent="0.4">
      <c r="B20" s="933"/>
      <c r="C20" s="109" t="s">
        <v>47</v>
      </c>
      <c r="D20" s="53"/>
      <c r="E20" s="53"/>
      <c r="F20" s="43"/>
      <c r="G20" s="44"/>
      <c r="H20" s="44"/>
      <c r="I20" s="45"/>
      <c r="J20" s="68" t="str">
        <f>IF(ISERROR(I20/(D20*1000)),"N/A",IF((I20/(D20*1000))&lt;0.01,"&lt;$0.01",(I20/(D20*1000))))</f>
        <v>N/A</v>
      </c>
      <c r="K20" s="46" t="str">
        <f>IF(ISERROR(I20/(F20*1000)),"N/A",IF((I20/(F20*1000))&lt;0.01,"&lt;$0.01",(I20/(F20*1000))))</f>
        <v>N/A</v>
      </c>
      <c r="L20" s="43"/>
      <c r="M20" s="47" t="str">
        <f>IF(ISERROR(F20/D20),"N/A",F20/D20)</f>
        <v>N/A</v>
      </c>
      <c r="N20" s="48"/>
    </row>
    <row r="21" spans="2:25" s="93" customFormat="1" x14ac:dyDescent="0.35">
      <c r="B21" s="54" t="s">
        <v>48</v>
      </c>
      <c r="C21" s="112"/>
      <c r="D21" s="55"/>
      <c r="E21" s="56"/>
      <c r="F21" s="55"/>
      <c r="G21" s="847"/>
      <c r="H21" s="847"/>
      <c r="I21" s="69"/>
      <c r="J21" s="70" t="str">
        <f>IF(ISERROR(I21/(D21*1000)),"N/A",IF((I21/(D21*1000))&lt;0.01,"&lt;$0.01",(I21/(D21*1000))))</f>
        <v>N/A</v>
      </c>
      <c r="K21" s="849" t="str">
        <f>IF(ISERROR(I21/(F21*1000)),"N/A",IF((I21/(F21*1000))&lt;0.01,"&lt;$0.01",(I21/(F21*1000))))</f>
        <v>N/A</v>
      </c>
      <c r="L21" s="55"/>
      <c r="M21" s="851" t="str">
        <f>IF(ISERROR(F21/D21),"N/A",F21/D21)</f>
        <v>N/A</v>
      </c>
      <c r="N21" s="853"/>
      <c r="O21"/>
      <c r="P21"/>
      <c r="Q21"/>
      <c r="R21"/>
      <c r="S21"/>
      <c r="T21"/>
      <c r="U21"/>
      <c r="V21"/>
      <c r="W21"/>
      <c r="X21"/>
      <c r="Y21"/>
    </row>
    <row r="22" spans="2:25" x14ac:dyDescent="0.35">
      <c r="B22" s="57"/>
      <c r="C22" s="58"/>
      <c r="D22" s="58"/>
      <c r="E22" s="58"/>
      <c r="F22" s="58"/>
      <c r="G22" s="58"/>
      <c r="H22" s="58"/>
      <c r="I22" s="58"/>
      <c r="J22" s="58"/>
      <c r="K22" s="58"/>
      <c r="L22" s="58"/>
      <c r="M22" s="58"/>
      <c r="N22" s="59"/>
    </row>
    <row r="23" spans="2:25" x14ac:dyDescent="0.35">
      <c r="B23" s="71" t="s">
        <v>49</v>
      </c>
      <c r="C23" s="115"/>
      <c r="D23" s="72"/>
      <c r="E23" s="72"/>
      <c r="F23" s="72"/>
      <c r="G23" s="72"/>
      <c r="H23" s="72"/>
      <c r="I23" s="72"/>
      <c r="J23" s="72"/>
      <c r="K23" s="72"/>
      <c r="L23" s="72"/>
      <c r="M23" s="72"/>
      <c r="N23" s="73"/>
    </row>
    <row r="24" spans="2:25" x14ac:dyDescent="0.35">
      <c r="B24" s="74" t="s">
        <v>50</v>
      </c>
      <c r="C24" s="116"/>
      <c r="D24" s="75"/>
      <c r="E24" s="75"/>
      <c r="F24" s="76"/>
      <c r="G24" s="77"/>
      <c r="H24" s="77"/>
      <c r="I24" s="78"/>
      <c r="J24" s="79"/>
      <c r="K24" s="79"/>
      <c r="L24" s="76"/>
      <c r="M24" s="80"/>
      <c r="N24" s="81"/>
    </row>
    <row r="25" spans="2:25" x14ac:dyDescent="0.35">
      <c r="B25" s="82" t="s">
        <v>51</v>
      </c>
      <c r="C25" s="117"/>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x14ac:dyDescent="0.35">
      <c r="B26" s="74" t="s">
        <v>52</v>
      </c>
      <c r="C26" s="116"/>
      <c r="D26" s="76"/>
      <c r="E26" s="83"/>
      <c r="F26" s="84"/>
      <c r="G26" s="84"/>
      <c r="H26" s="84"/>
      <c r="I26" s="78"/>
      <c r="J26" s="85" t="str">
        <f>IF(ISERROR(I26/(D26*1000)),"N/A",IF((I26/(D26*1000))&lt;0.01,"&lt;$0.01",(I26/(D26*1000))))</f>
        <v>N/A</v>
      </c>
      <c r="K26" s="85" t="str">
        <f>IF(ISERROR(I26/(F26*1000)),"N/A",IF((I26/(F26*1000))&lt;0.01,"&lt;$0.01",(I26/(F26*1000))))</f>
        <v>N/A</v>
      </c>
      <c r="L26" s="76"/>
      <c r="M26" s="86" t="str">
        <f>IF(ISERROR(F26/D26),"N/A",F26/D26)</f>
        <v>N/A</v>
      </c>
      <c r="N26" s="87"/>
    </row>
    <row r="27" spans="2:25" x14ac:dyDescent="0.35">
      <c r="B27" s="57"/>
      <c r="C27" s="58"/>
      <c r="D27" s="58"/>
      <c r="E27" s="58"/>
      <c r="F27" s="58"/>
      <c r="G27" s="58"/>
      <c r="H27" s="58"/>
      <c r="I27" s="58"/>
      <c r="J27" s="58"/>
      <c r="K27" s="58"/>
      <c r="L27" s="58"/>
      <c r="M27" s="58"/>
      <c r="N27" s="59"/>
    </row>
    <row r="28" spans="2:25" ht="15" thickBot="1" x14ac:dyDescent="0.4">
      <c r="B28" s="88" t="s">
        <v>53</v>
      </c>
      <c r="C28" s="118"/>
      <c r="D28" s="89"/>
      <c r="E28" s="90"/>
      <c r="F28" s="89"/>
      <c r="G28" s="854"/>
      <c r="H28" s="854"/>
      <c r="I28" s="91"/>
      <c r="J28" s="92" t="str">
        <f>IF(ISERROR(I28/(D28*1000)),"N/A",IF((I28/(D28*1000))&lt;0.01,"&lt;$0.01",(I28/(D28*1000))))</f>
        <v>N/A</v>
      </c>
      <c r="K28" s="855" t="str">
        <f>IF(ISERROR(I28/(F28*1000)),"N/A",IF((I28/(F28*1000))&lt;0.01,"&lt;$0.01",(I28/(F28*1000))))</f>
        <v>N/A</v>
      </c>
      <c r="L28" s="89"/>
      <c r="M28" s="856" t="str">
        <f t="shared" ref="M28" si="3">IF(ISERROR(F28/D28),"N/A",F28/D28)</f>
        <v>N/A</v>
      </c>
      <c r="N28" s="857"/>
    </row>
    <row r="29" spans="2:25" ht="15" thickBot="1" x14ac:dyDescent="0.4">
      <c r="B29" s="88" t="s">
        <v>54</v>
      </c>
      <c r="C29" s="89"/>
      <c r="D29" s="89"/>
      <c r="E29" s="90"/>
      <c r="F29" s="89"/>
      <c r="G29" s="854"/>
      <c r="H29" s="854"/>
      <c r="I29" s="91"/>
      <c r="J29" s="92"/>
      <c r="K29" s="855"/>
      <c r="L29" s="89"/>
      <c r="M29" s="856"/>
      <c r="N29" s="857"/>
    </row>
    <row r="30" spans="2:25" x14ac:dyDescent="0.35">
      <c r="B30" s="93"/>
      <c r="C30" s="93"/>
      <c r="D30" s="93"/>
      <c r="E30" s="93"/>
      <c r="F30" s="93"/>
      <c r="G30" s="93"/>
      <c r="H30" s="94"/>
      <c r="I30" s="95"/>
      <c r="J30" s="93"/>
      <c r="K30" s="93"/>
      <c r="L30" s="96"/>
      <c r="M30" s="97"/>
      <c r="N30" s="97"/>
      <c r="O30" s="93"/>
      <c r="P30" s="93"/>
      <c r="Q30" s="93"/>
      <c r="R30" s="93"/>
      <c r="S30" s="93"/>
      <c r="T30" s="93"/>
      <c r="U30" s="93"/>
      <c r="V30" s="93"/>
      <c r="W30" s="93"/>
      <c r="X30" s="93"/>
      <c r="Y30" s="93"/>
    </row>
  </sheetData>
  <mergeCells count="6">
    <mergeCell ref="B18:B20"/>
    <mergeCell ref="B5:C7"/>
    <mergeCell ref="D5:F5"/>
    <mergeCell ref="G5:H5"/>
    <mergeCell ref="I5:K5"/>
    <mergeCell ref="B10:B12"/>
  </mergeCells>
  <pageMargins left="0.25" right="0.25" top="0.75" bottom="0.75" header="0.3" footer="0.3"/>
  <pageSetup scale="1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M49"/>
  <sheetViews>
    <sheetView zoomScale="89" zoomScaleNormal="89" workbookViewId="0"/>
  </sheetViews>
  <sheetFormatPr defaultColWidth="8.7265625" defaultRowHeight="14.5" x14ac:dyDescent="0.35"/>
  <cols>
    <col min="1" max="1" width="8.7265625" customWidth="1"/>
    <col min="2" max="2" width="60.7265625" customWidth="1"/>
    <col min="3" max="3" width="12.453125" customWidth="1"/>
    <col min="4" max="4" width="13.7265625" customWidth="1"/>
    <col min="5" max="5" width="10.7265625" customWidth="1"/>
    <col min="6" max="6" width="16.7265625" customWidth="1"/>
    <col min="7" max="7" width="12.453125" customWidth="1"/>
    <col min="8" max="13" width="14.26953125" style="5" customWidth="1"/>
    <col min="14" max="14" width="14.26953125" customWidth="1"/>
  </cols>
  <sheetData>
    <row r="2" spans="1:13" ht="15" thickBot="1" x14ac:dyDescent="0.4">
      <c r="B2" t="s">
        <v>260</v>
      </c>
    </row>
    <row r="3" spans="1:13" ht="43.5" x14ac:dyDescent="0.35">
      <c r="B3" s="631"/>
      <c r="C3" s="340" t="s">
        <v>139</v>
      </c>
      <c r="D3" s="341" t="s">
        <v>261</v>
      </c>
      <c r="E3" s="341" t="s">
        <v>109</v>
      </c>
      <c r="F3" s="341" t="s">
        <v>262</v>
      </c>
      <c r="G3" s="342" t="s">
        <v>263</v>
      </c>
      <c r="H3" s="570" t="s">
        <v>33</v>
      </c>
      <c r="I3" s="571" t="s">
        <v>42</v>
      </c>
      <c r="J3" s="571" t="s">
        <v>44</v>
      </c>
      <c r="K3" s="571" t="s">
        <v>34</v>
      </c>
      <c r="L3" s="571" t="s">
        <v>50</v>
      </c>
      <c r="M3" s="572" t="s">
        <v>110</v>
      </c>
    </row>
    <row r="4" spans="1:13" s="344" customFormat="1" x14ac:dyDescent="0.35">
      <c r="A4" s="343" t="s">
        <v>264</v>
      </c>
      <c r="C4" s="345"/>
      <c r="G4" s="346"/>
      <c r="H4" s="573" t="s">
        <v>265</v>
      </c>
      <c r="I4" s="574" t="s">
        <v>266</v>
      </c>
      <c r="J4" s="574" t="s">
        <v>267</v>
      </c>
      <c r="K4" s="574" t="s">
        <v>268</v>
      </c>
      <c r="L4" s="575"/>
      <c r="M4" s="576"/>
    </row>
    <row r="5" spans="1:13" x14ac:dyDescent="0.35">
      <c r="A5">
        <v>1</v>
      </c>
      <c r="B5" t="s">
        <v>269</v>
      </c>
      <c r="C5" s="597">
        <f>SUM(H5,K5)</f>
        <v>0</v>
      </c>
      <c r="D5" s="366">
        <f>SUM(I5,J5)</f>
        <v>0</v>
      </c>
      <c r="E5" s="366">
        <f>M5</f>
        <v>0</v>
      </c>
      <c r="F5" s="366">
        <f>L5</f>
        <v>0</v>
      </c>
      <c r="G5" s="599">
        <f>SUM(C5:F5)</f>
        <v>0</v>
      </c>
      <c r="H5" s="566">
        <v>0</v>
      </c>
      <c r="I5" s="5">
        <v>0</v>
      </c>
      <c r="J5" s="5">
        <v>0</v>
      </c>
      <c r="K5" s="5">
        <v>0</v>
      </c>
      <c r="L5" s="5">
        <v>0</v>
      </c>
      <c r="M5" s="577">
        <v>0</v>
      </c>
    </row>
    <row r="6" spans="1:13" x14ac:dyDescent="0.35">
      <c r="A6">
        <v>2</v>
      </c>
      <c r="B6" t="s">
        <v>270</v>
      </c>
      <c r="C6" s="597">
        <f t="shared" ref="C6:C17" si="0">SUM(H6,K6)</f>
        <v>0</v>
      </c>
      <c r="D6" s="366">
        <f t="shared" ref="D6:D16" si="1">SUM(I6,J6)</f>
        <v>0</v>
      </c>
      <c r="E6" s="366">
        <f t="shared" ref="E6:E16" si="2">M6</f>
        <v>0</v>
      </c>
      <c r="F6" s="366">
        <f t="shared" ref="F6:F16" si="3">L6</f>
        <v>0</v>
      </c>
      <c r="G6" s="599">
        <f t="shared" ref="G6:G17" si="4">SUM(C6:F6)</f>
        <v>0</v>
      </c>
      <c r="H6" s="566">
        <v>0</v>
      </c>
      <c r="I6" s="5">
        <v>0</v>
      </c>
      <c r="J6" s="5">
        <v>0</v>
      </c>
      <c r="K6" s="5">
        <v>0</v>
      </c>
      <c r="L6" s="5">
        <v>0</v>
      </c>
      <c r="M6" s="577">
        <v>0</v>
      </c>
    </row>
    <row r="7" spans="1:13" x14ac:dyDescent="0.35">
      <c r="A7">
        <v>3</v>
      </c>
      <c r="B7" t="s">
        <v>271</v>
      </c>
      <c r="C7" s="597">
        <f t="shared" si="0"/>
        <v>0</v>
      </c>
      <c r="D7" s="366">
        <f t="shared" si="1"/>
        <v>0</v>
      </c>
      <c r="E7" s="366">
        <f t="shared" si="2"/>
        <v>0</v>
      </c>
      <c r="F7" s="366">
        <f t="shared" si="3"/>
        <v>0</v>
      </c>
      <c r="G7" s="599">
        <f t="shared" si="4"/>
        <v>0</v>
      </c>
      <c r="H7" s="566">
        <v>0</v>
      </c>
      <c r="I7" s="5">
        <v>0</v>
      </c>
      <c r="J7" s="5">
        <v>0</v>
      </c>
      <c r="K7" s="5">
        <v>0</v>
      </c>
      <c r="L7" s="5">
        <v>0</v>
      </c>
      <c r="M7" s="577">
        <v>0</v>
      </c>
    </row>
    <row r="8" spans="1:13" x14ac:dyDescent="0.35">
      <c r="A8">
        <v>4</v>
      </c>
      <c r="B8" t="s">
        <v>272</v>
      </c>
      <c r="C8" s="597">
        <f t="shared" si="0"/>
        <v>4620362.2240590388</v>
      </c>
      <c r="D8" s="366">
        <f t="shared" si="1"/>
        <v>2887663.8155817701</v>
      </c>
      <c r="E8" s="366">
        <f t="shared" si="2"/>
        <v>0</v>
      </c>
      <c r="F8" s="366">
        <f t="shared" si="3"/>
        <v>1377391.3680461801</v>
      </c>
      <c r="G8" s="599">
        <f t="shared" si="4"/>
        <v>8885417.4076869879</v>
      </c>
      <c r="H8" s="566">
        <v>4589880.4820758495</v>
      </c>
      <c r="I8" s="5">
        <v>0</v>
      </c>
      <c r="J8" s="5">
        <v>2887663.8155817701</v>
      </c>
      <c r="K8" s="5">
        <v>30481.7419831888</v>
      </c>
      <c r="L8" s="5">
        <v>1377391.3680461801</v>
      </c>
      <c r="M8" s="577">
        <v>0</v>
      </c>
    </row>
    <row r="9" spans="1:13" x14ac:dyDescent="0.35">
      <c r="A9">
        <v>5</v>
      </c>
      <c r="B9" t="s">
        <v>273</v>
      </c>
      <c r="C9" s="597">
        <f t="shared" si="0"/>
        <v>601784.26675324503</v>
      </c>
      <c r="D9" s="366">
        <f t="shared" si="1"/>
        <v>611490.45566773799</v>
      </c>
      <c r="E9" s="366">
        <f t="shared" si="2"/>
        <v>0</v>
      </c>
      <c r="F9" s="366">
        <f t="shared" si="3"/>
        <v>363723.02724164998</v>
      </c>
      <c r="G9" s="599">
        <f t="shared" si="4"/>
        <v>1576997.7496626331</v>
      </c>
      <c r="H9" s="566">
        <v>600535.31765057298</v>
      </c>
      <c r="I9" s="5">
        <v>0</v>
      </c>
      <c r="J9" s="5">
        <v>611490.45566773799</v>
      </c>
      <c r="K9" s="5">
        <v>1248.94910267209</v>
      </c>
      <c r="L9" s="5">
        <v>363723.02724164998</v>
      </c>
      <c r="M9" s="577">
        <v>0</v>
      </c>
    </row>
    <row r="10" spans="1:13" x14ac:dyDescent="0.35">
      <c r="A10">
        <v>6</v>
      </c>
      <c r="B10" t="s">
        <v>274</v>
      </c>
      <c r="C10" s="597">
        <f t="shared" si="0"/>
        <v>-217837.812945135</v>
      </c>
      <c r="D10" s="366">
        <f t="shared" si="1"/>
        <v>-77179.924581405299</v>
      </c>
      <c r="E10" s="366">
        <f t="shared" si="2"/>
        <v>0</v>
      </c>
      <c r="F10" s="366">
        <f t="shared" si="3"/>
        <v>0</v>
      </c>
      <c r="G10" s="599">
        <f t="shared" si="4"/>
        <v>-295017.7375265403</v>
      </c>
      <c r="H10" s="566">
        <v>-217837.812945135</v>
      </c>
      <c r="I10" s="5">
        <v>0</v>
      </c>
      <c r="J10" s="5">
        <v>-77179.924581405299</v>
      </c>
      <c r="K10" s="5">
        <v>0</v>
      </c>
      <c r="L10" s="5">
        <v>0</v>
      </c>
      <c r="M10" s="577">
        <v>0</v>
      </c>
    </row>
    <row r="11" spans="1:13" x14ac:dyDescent="0.35">
      <c r="A11">
        <v>7</v>
      </c>
      <c r="B11" t="s">
        <v>275</v>
      </c>
      <c r="C11" s="597">
        <f t="shared" si="0"/>
        <v>0</v>
      </c>
      <c r="D11" s="366">
        <f t="shared" si="1"/>
        <v>0</v>
      </c>
      <c r="E11" s="366">
        <f t="shared" si="2"/>
        <v>0</v>
      </c>
      <c r="F11" s="366">
        <f t="shared" si="3"/>
        <v>0</v>
      </c>
      <c r="G11" s="599">
        <f t="shared" si="4"/>
        <v>0</v>
      </c>
      <c r="H11" s="566">
        <v>0</v>
      </c>
      <c r="I11" s="5">
        <v>0</v>
      </c>
      <c r="J11" s="5">
        <v>0</v>
      </c>
      <c r="K11" s="5">
        <v>0</v>
      </c>
      <c r="L11" s="5">
        <v>0</v>
      </c>
      <c r="M11" s="577">
        <v>0</v>
      </c>
    </row>
    <row r="12" spans="1:13" x14ac:dyDescent="0.35">
      <c r="A12">
        <v>8</v>
      </c>
      <c r="B12" t="s">
        <v>276</v>
      </c>
      <c r="C12" s="597">
        <f t="shared" si="0"/>
        <v>0</v>
      </c>
      <c r="D12" s="366">
        <f t="shared" si="1"/>
        <v>0</v>
      </c>
      <c r="E12" s="366">
        <f t="shared" si="2"/>
        <v>0</v>
      </c>
      <c r="F12" s="366">
        <f t="shared" si="3"/>
        <v>0</v>
      </c>
      <c r="G12" s="599">
        <f t="shared" si="4"/>
        <v>0</v>
      </c>
      <c r="H12" s="566">
        <v>0</v>
      </c>
      <c r="I12" s="5">
        <v>0</v>
      </c>
      <c r="J12" s="5">
        <v>0</v>
      </c>
      <c r="K12" s="5">
        <v>0</v>
      </c>
      <c r="L12" s="5">
        <v>0</v>
      </c>
      <c r="M12" s="577">
        <v>0</v>
      </c>
    </row>
    <row r="13" spans="1:13" x14ac:dyDescent="0.35">
      <c r="B13" s="349" t="s">
        <v>277</v>
      </c>
      <c r="C13" s="578">
        <f>SUM(C5:C12)</f>
        <v>5004308.677867149</v>
      </c>
      <c r="D13" s="578">
        <f t="shared" ref="D13:G13" si="5">SUM(D5:D12)</f>
        <v>3421974.3466681028</v>
      </c>
      <c r="E13" s="578">
        <f t="shared" si="5"/>
        <v>0</v>
      </c>
      <c r="F13" s="578">
        <f t="shared" si="5"/>
        <v>1741114.3952878301</v>
      </c>
      <c r="G13" s="578">
        <f t="shared" si="5"/>
        <v>10167397.41982308</v>
      </c>
      <c r="H13" s="578">
        <f>SUM(H5:H12)</f>
        <v>4972577.9867812879</v>
      </c>
      <c r="I13" s="578">
        <f t="shared" ref="I13:M13" si="6">SUM(I5:I12)</f>
        <v>0</v>
      </c>
      <c r="J13" s="578">
        <f t="shared" si="6"/>
        <v>3421974.3466681028</v>
      </c>
      <c r="K13" s="578">
        <f t="shared" si="6"/>
        <v>31730.69108586089</v>
      </c>
      <c r="L13" s="578">
        <f t="shared" si="6"/>
        <v>1741114.3952878301</v>
      </c>
      <c r="M13" s="578">
        <f t="shared" si="6"/>
        <v>0</v>
      </c>
    </row>
    <row r="14" spans="1:13" x14ac:dyDescent="0.35">
      <c r="A14">
        <v>9</v>
      </c>
      <c r="B14" t="s">
        <v>278</v>
      </c>
      <c r="C14" s="597">
        <f t="shared" si="0"/>
        <v>3539264.7469773497</v>
      </c>
      <c r="D14" s="366">
        <f t="shared" si="1"/>
        <v>3769886.8480523201</v>
      </c>
      <c r="E14" s="366">
        <f t="shared" si="2"/>
        <v>156798.84122594999</v>
      </c>
      <c r="F14" s="366">
        <f t="shared" si="3"/>
        <v>496107.19</v>
      </c>
      <c r="G14" s="599">
        <f t="shared" si="4"/>
        <v>7962057.6262556203</v>
      </c>
      <c r="H14" s="566">
        <v>2089271.0845550101</v>
      </c>
      <c r="I14" s="5">
        <v>1454790.82744243</v>
      </c>
      <c r="J14" s="5">
        <v>2315096.0206098901</v>
      </c>
      <c r="K14" s="5">
        <v>1449993.6624223399</v>
      </c>
      <c r="L14" s="5">
        <v>496107.19</v>
      </c>
      <c r="M14" s="577">
        <v>156798.84122594999</v>
      </c>
    </row>
    <row r="15" spans="1:13" x14ac:dyDescent="0.35">
      <c r="A15">
        <v>10</v>
      </c>
      <c r="B15" t="s">
        <v>279</v>
      </c>
      <c r="C15" s="597">
        <f t="shared" si="0"/>
        <v>1318036.0664976579</v>
      </c>
      <c r="D15" s="366">
        <f t="shared" si="1"/>
        <v>2455480.08</v>
      </c>
      <c r="E15" s="366">
        <f t="shared" si="2"/>
        <v>0</v>
      </c>
      <c r="F15" s="366">
        <f t="shared" si="3"/>
        <v>254445.81</v>
      </c>
      <c r="G15" s="599">
        <f t="shared" si="4"/>
        <v>4027961.956497658</v>
      </c>
      <c r="H15" s="566">
        <v>1225016.5375000001</v>
      </c>
      <c r="I15" s="5">
        <v>0</v>
      </c>
      <c r="J15" s="5">
        <v>2455480.08</v>
      </c>
      <c r="K15" s="5">
        <v>93019.528997657704</v>
      </c>
      <c r="L15" s="5">
        <v>254445.81</v>
      </c>
      <c r="M15" s="577">
        <v>0</v>
      </c>
    </row>
    <row r="16" spans="1:13" x14ac:dyDescent="0.35">
      <c r="A16">
        <v>11</v>
      </c>
      <c r="B16" t="s">
        <v>280</v>
      </c>
      <c r="C16" s="597">
        <f t="shared" si="0"/>
        <v>880375.32783382863</v>
      </c>
      <c r="D16" s="366">
        <f t="shared" si="1"/>
        <v>1210927.73</v>
      </c>
      <c r="E16" s="366">
        <f t="shared" si="2"/>
        <v>0</v>
      </c>
      <c r="F16" s="366">
        <f t="shared" si="3"/>
        <v>254445.81</v>
      </c>
      <c r="G16" s="599">
        <f t="shared" si="4"/>
        <v>2345748.8678338286</v>
      </c>
      <c r="H16" s="566">
        <v>826683.59025617095</v>
      </c>
      <c r="I16" s="5">
        <v>0</v>
      </c>
      <c r="J16" s="5">
        <v>1210927.73</v>
      </c>
      <c r="K16" s="5">
        <v>53691.737577657703</v>
      </c>
      <c r="L16" s="5">
        <v>254445.81</v>
      </c>
      <c r="M16" s="577">
        <v>0</v>
      </c>
    </row>
    <row r="17" spans="1:13" x14ac:dyDescent="0.35">
      <c r="B17" t="s">
        <v>281</v>
      </c>
      <c r="C17" s="597">
        <f t="shared" si="0"/>
        <v>4857300.8134750072</v>
      </c>
      <c r="D17" s="566">
        <f t="shared" ref="D17:F17" si="7">SUM(D14:D15)</f>
        <v>6225366.9280523201</v>
      </c>
      <c r="E17" s="566">
        <f t="shared" si="7"/>
        <v>156798.84122594999</v>
      </c>
      <c r="F17" s="566">
        <f t="shared" si="7"/>
        <v>750553</v>
      </c>
      <c r="G17" s="599">
        <f t="shared" si="4"/>
        <v>11990019.582753276</v>
      </c>
      <c r="H17" s="566">
        <f>SUM(H14:H15)</f>
        <v>3314287.6220550099</v>
      </c>
      <c r="I17" s="566">
        <f t="shared" ref="I17:M17" si="8">SUM(I14:I15)</f>
        <v>1454790.82744243</v>
      </c>
      <c r="J17" s="566">
        <f t="shared" si="8"/>
        <v>4770576.1006098902</v>
      </c>
      <c r="K17" s="566">
        <f t="shared" si="8"/>
        <v>1543013.1914199977</v>
      </c>
      <c r="L17" s="566">
        <f t="shared" si="8"/>
        <v>750553</v>
      </c>
      <c r="M17" s="594">
        <f t="shared" si="8"/>
        <v>156798.84122594999</v>
      </c>
    </row>
    <row r="18" spans="1:13" x14ac:dyDescent="0.35">
      <c r="B18" s="349" t="s">
        <v>282</v>
      </c>
      <c r="C18" s="568">
        <f>IFERROR(C13/C17,0)</f>
        <v>1.0302653407802778</v>
      </c>
      <c r="D18" s="568">
        <f t="shared" ref="D18:F18" si="9">IFERROR(D13/D17,0)</f>
        <v>0.54968235386226594</v>
      </c>
      <c r="E18" s="568">
        <f t="shared" si="9"/>
        <v>0</v>
      </c>
      <c r="F18" s="568">
        <f t="shared" si="9"/>
        <v>2.3197754126461825</v>
      </c>
      <c r="G18" s="568">
        <f t="shared" ref="G18" si="10">G13/G17</f>
        <v>0.8479883914825378</v>
      </c>
      <c r="H18" s="568">
        <f>H13/H17</f>
        <v>1.5003459427272223</v>
      </c>
      <c r="I18" s="568">
        <f t="shared" ref="I18:M18" si="11">I13/I17</f>
        <v>0</v>
      </c>
      <c r="J18" s="568">
        <f t="shared" si="11"/>
        <v>0.71730840772682014</v>
      </c>
      <c r="K18" s="568">
        <f t="shared" si="11"/>
        <v>2.056410875960166E-2</v>
      </c>
      <c r="L18" s="568">
        <f t="shared" si="11"/>
        <v>2.3197754126461825</v>
      </c>
      <c r="M18" s="595">
        <f t="shared" si="11"/>
        <v>0</v>
      </c>
    </row>
    <row r="19" spans="1:13" x14ac:dyDescent="0.35">
      <c r="C19" s="347"/>
      <c r="G19" s="348"/>
      <c r="H19" s="566"/>
      <c r="M19" s="577"/>
    </row>
    <row r="20" spans="1:13" s="344" customFormat="1" x14ac:dyDescent="0.35">
      <c r="A20" s="343" t="s">
        <v>283</v>
      </c>
      <c r="C20" s="345"/>
      <c r="G20" s="346"/>
      <c r="H20" s="579"/>
      <c r="I20" s="575"/>
      <c r="J20" s="575"/>
      <c r="K20" s="575"/>
      <c r="L20" s="575"/>
      <c r="M20" s="576"/>
    </row>
    <row r="21" spans="1:13" x14ac:dyDescent="0.35">
      <c r="A21">
        <v>12</v>
      </c>
      <c r="B21" t="s">
        <v>284</v>
      </c>
      <c r="C21" s="597">
        <f t="shared" ref="C21:C22" si="12">SUM(H21,K21)</f>
        <v>17811851.25247582</v>
      </c>
      <c r="D21" s="366">
        <f t="shared" ref="D21:D22" si="13">SUM(I21,J21)</f>
        <v>9340445.612590095</v>
      </c>
      <c r="E21" s="366">
        <f t="shared" ref="E21:E22" si="14">M21</f>
        <v>0</v>
      </c>
      <c r="F21" s="366">
        <f t="shared" ref="F21:F22" si="15">L21</f>
        <v>5614859.2995833913</v>
      </c>
      <c r="G21" s="599">
        <f t="shared" ref="G21:G22" si="16">SUM(C21:F21)</f>
        <v>32767156.164649308</v>
      </c>
      <c r="H21" s="566">
        <v>17639029.582750607</v>
      </c>
      <c r="I21" s="5">
        <v>0</v>
      </c>
      <c r="J21" s="5">
        <v>9340445.612590095</v>
      </c>
      <c r="K21" s="5">
        <v>172821.66972521271</v>
      </c>
      <c r="L21" s="5">
        <v>5614859.2995833913</v>
      </c>
      <c r="M21" s="577">
        <v>0</v>
      </c>
    </row>
    <row r="22" spans="1:13" x14ac:dyDescent="0.35">
      <c r="A22">
        <v>13</v>
      </c>
      <c r="B22" t="s">
        <v>285</v>
      </c>
      <c r="C22" s="597">
        <f t="shared" si="12"/>
        <v>1318036.0664976579</v>
      </c>
      <c r="D22" s="366">
        <f t="shared" si="13"/>
        <v>2455480.08</v>
      </c>
      <c r="E22" s="366">
        <f t="shared" si="14"/>
        <v>0</v>
      </c>
      <c r="F22" s="366">
        <f t="shared" si="15"/>
        <v>220878.44000000099</v>
      </c>
      <c r="G22" s="599">
        <f t="shared" si="16"/>
        <v>3994394.5864976589</v>
      </c>
      <c r="H22" s="566">
        <v>1225016.5375000001</v>
      </c>
      <c r="I22" s="5">
        <v>0</v>
      </c>
      <c r="J22" s="5">
        <v>2455480.08</v>
      </c>
      <c r="K22" s="5">
        <v>93019.528997657704</v>
      </c>
      <c r="L22" s="5">
        <v>220878.44000000099</v>
      </c>
      <c r="M22" s="577"/>
    </row>
    <row r="23" spans="1:13" x14ac:dyDescent="0.35">
      <c r="B23" s="350" t="s">
        <v>286</v>
      </c>
      <c r="C23" s="568">
        <f>IFERROR(C21/C22,0)</f>
        <v>13.513933120059633</v>
      </c>
      <c r="D23" s="568">
        <f t="shared" ref="D23:F23" si="17">IFERROR(D21/D22,0)</f>
        <v>3.8039183004042512</v>
      </c>
      <c r="E23" s="568">
        <f t="shared" si="17"/>
        <v>0</v>
      </c>
      <c r="F23" s="568">
        <f t="shared" si="17"/>
        <v>25.420585637889175</v>
      </c>
      <c r="G23" s="568">
        <f t="shared" ref="G23" si="18">G21/G22</f>
        <v>8.2032847419263124</v>
      </c>
      <c r="H23" s="568">
        <f>H21/H22</f>
        <v>14.39901343597217</v>
      </c>
      <c r="I23" s="568">
        <f>IFERROR(I21/I22,0)</f>
        <v>0</v>
      </c>
      <c r="J23" s="568">
        <f t="shared" ref="J23:L23" si="19">J21/J22</f>
        <v>3.8039183004042512</v>
      </c>
      <c r="K23" s="568">
        <f t="shared" si="19"/>
        <v>1.8579073834007962</v>
      </c>
      <c r="L23" s="568">
        <f t="shared" si="19"/>
        <v>25.420585637889175</v>
      </c>
      <c r="M23" s="568">
        <f>IFERROR(M21/M22,0)</f>
        <v>0</v>
      </c>
    </row>
    <row r="24" spans="1:13" x14ac:dyDescent="0.35">
      <c r="C24" s="347"/>
      <c r="G24" s="348"/>
      <c r="H24" s="566"/>
      <c r="M24" s="577"/>
    </row>
    <row r="25" spans="1:13" s="344" customFormat="1" x14ac:dyDescent="0.35">
      <c r="A25" s="343" t="s">
        <v>287</v>
      </c>
      <c r="C25" s="345"/>
      <c r="G25" s="346"/>
      <c r="H25" s="579"/>
      <c r="I25" s="575"/>
      <c r="J25" s="575"/>
      <c r="K25" s="575"/>
      <c r="L25" s="575"/>
      <c r="M25" s="576"/>
    </row>
    <row r="26" spans="1:13" x14ac:dyDescent="0.35">
      <c r="B26" s="350" t="s">
        <v>288</v>
      </c>
      <c r="C26" s="568">
        <f>IFERROR(C13/(C14+C16),0)</f>
        <v>1.1322887369014885</v>
      </c>
      <c r="D26" s="568">
        <f t="shared" ref="D26:F26" si="20">IFERROR(D13/(D14+D16),0)</f>
        <v>0.6870310655102162</v>
      </c>
      <c r="E26" s="568">
        <f t="shared" si="20"/>
        <v>0</v>
      </c>
      <c r="F26" s="568">
        <f t="shared" si="20"/>
        <v>2.3197754126461825</v>
      </c>
      <c r="G26" s="568">
        <f t="shared" ref="G26" si="21">G13/(G14+G16)</f>
        <v>0.98637837503576731</v>
      </c>
      <c r="H26" s="568">
        <f>H13/(H14+H16)</f>
        <v>1.7053001645518653</v>
      </c>
      <c r="I26" s="568">
        <f t="shared" ref="I26:M26" si="22">I13/(I14+I16)</f>
        <v>0</v>
      </c>
      <c r="J26" s="568">
        <f t="shared" si="22"/>
        <v>0.97049100876765504</v>
      </c>
      <c r="K26" s="568">
        <f t="shared" si="22"/>
        <v>2.1101947977855567E-2</v>
      </c>
      <c r="L26" s="568">
        <f t="shared" si="22"/>
        <v>2.3197754126461825</v>
      </c>
      <c r="M26" s="568">
        <f t="shared" si="22"/>
        <v>0</v>
      </c>
    </row>
    <row r="27" spans="1:13" x14ac:dyDescent="0.35">
      <c r="C27" s="347"/>
      <c r="G27" s="348"/>
      <c r="H27" s="566"/>
      <c r="M27" s="577"/>
    </row>
    <row r="28" spans="1:13" s="344" customFormat="1" x14ac:dyDescent="0.35">
      <c r="A28" s="343" t="s">
        <v>289</v>
      </c>
      <c r="C28" s="345"/>
      <c r="G28" s="346"/>
      <c r="H28" s="579"/>
      <c r="I28" s="575"/>
      <c r="J28" s="575"/>
      <c r="K28" s="575"/>
      <c r="L28" s="575"/>
      <c r="M28" s="576"/>
    </row>
    <row r="29" spans="1:13" x14ac:dyDescent="0.35">
      <c r="A29">
        <v>14</v>
      </c>
      <c r="B29" t="s">
        <v>290</v>
      </c>
      <c r="C29" s="597">
        <f t="shared" ref="C29:C30" si="23">SUM(H29,K29)</f>
        <v>5004308.677867149</v>
      </c>
      <c r="D29" s="366">
        <f t="shared" ref="D29:D30" si="24">SUM(I29,J29)</f>
        <v>3421974.3466681028</v>
      </c>
      <c r="E29" s="366">
        <f t="shared" ref="E29:E30" si="25">M29</f>
        <v>0</v>
      </c>
      <c r="F29" s="366">
        <f t="shared" ref="F29:F30" si="26">L29</f>
        <v>1741114.3952878301</v>
      </c>
      <c r="G29" s="599">
        <f t="shared" ref="G29:G30" si="27">SUM(C29:F29)</f>
        <v>10167397.419823082</v>
      </c>
      <c r="H29" s="5">
        <f>H13</f>
        <v>4972577.9867812879</v>
      </c>
      <c r="I29" s="5">
        <f t="shared" ref="I29:M29" si="28">I13</f>
        <v>0</v>
      </c>
      <c r="J29" s="5">
        <f t="shared" si="28"/>
        <v>3421974.3466681028</v>
      </c>
      <c r="K29" s="5">
        <f t="shared" si="28"/>
        <v>31730.69108586089</v>
      </c>
      <c r="L29" s="5">
        <f t="shared" si="28"/>
        <v>1741114.3952878301</v>
      </c>
      <c r="M29" s="596">
        <f t="shared" si="28"/>
        <v>0</v>
      </c>
    </row>
    <row r="30" spans="1:13" x14ac:dyDescent="0.35">
      <c r="A30">
        <v>15</v>
      </c>
      <c r="B30" t="s">
        <v>291</v>
      </c>
      <c r="C30" s="597">
        <f t="shared" si="23"/>
        <v>21351115.999453172</v>
      </c>
      <c r="D30" s="366">
        <f t="shared" si="24"/>
        <v>13110332.460642416</v>
      </c>
      <c r="E30" s="366">
        <f t="shared" si="25"/>
        <v>156798.84122594999</v>
      </c>
      <c r="F30" s="366">
        <f t="shared" si="26"/>
        <v>6144533.8595833899</v>
      </c>
      <c r="G30" s="599">
        <f t="shared" si="27"/>
        <v>40762781.160904929</v>
      </c>
      <c r="H30" s="566">
        <v>19728300.667305619</v>
      </c>
      <c r="I30" s="5">
        <v>1454790.82744243</v>
      </c>
      <c r="J30" s="5">
        <v>11655541.633199986</v>
      </c>
      <c r="K30" s="5">
        <v>1622815.3321475526</v>
      </c>
      <c r="L30" s="5">
        <v>6144533.8595833899</v>
      </c>
      <c r="M30" s="577">
        <v>156798.84122594999</v>
      </c>
    </row>
    <row r="31" spans="1:13" x14ac:dyDescent="0.35">
      <c r="B31" s="350" t="s">
        <v>292</v>
      </c>
      <c r="C31" s="568">
        <f>IFERROR(C29/C30,0)</f>
        <v>0.23438159757060545</v>
      </c>
      <c r="D31" s="568">
        <f t="shared" ref="D31:F31" si="29">IFERROR(D29/D30,0)</f>
        <v>0.26101354461764914</v>
      </c>
      <c r="E31" s="568">
        <f t="shared" si="29"/>
        <v>0</v>
      </c>
      <c r="F31" s="568">
        <f t="shared" si="29"/>
        <v>0.28335988295878328</v>
      </c>
      <c r="G31" s="568">
        <f t="shared" ref="G31" si="30">G29/G30</f>
        <v>0.24942845238377662</v>
      </c>
      <c r="H31" s="568">
        <f>H29/H30</f>
        <v>0.25205303136027352</v>
      </c>
      <c r="I31" s="568">
        <f t="shared" ref="I31:M31" si="31">I29/I30</f>
        <v>0</v>
      </c>
      <c r="J31" s="568">
        <f t="shared" si="31"/>
        <v>0.29359204868874139</v>
      </c>
      <c r="K31" s="568">
        <f t="shared" si="31"/>
        <v>1.9552866217914074E-2</v>
      </c>
      <c r="L31" s="568">
        <f t="shared" si="31"/>
        <v>0.28335988295878328</v>
      </c>
      <c r="M31" s="568">
        <f t="shared" si="31"/>
        <v>0</v>
      </c>
    </row>
    <row r="32" spans="1:13" x14ac:dyDescent="0.35">
      <c r="C32" s="347"/>
      <c r="G32" s="348"/>
      <c r="H32" s="566"/>
      <c r="M32" s="577"/>
    </row>
    <row r="33" spans="1:13" s="344" customFormat="1" x14ac:dyDescent="0.35">
      <c r="A33" s="343" t="s">
        <v>293</v>
      </c>
      <c r="C33" s="345"/>
      <c r="G33" s="346"/>
      <c r="H33" s="579"/>
      <c r="I33" s="575"/>
      <c r="J33" s="575"/>
      <c r="K33" s="575"/>
      <c r="L33" s="575"/>
      <c r="M33" s="576"/>
    </row>
    <row r="34" spans="1:13" x14ac:dyDescent="0.35">
      <c r="A34">
        <v>16</v>
      </c>
      <c r="B34" t="s">
        <v>269</v>
      </c>
      <c r="C34" s="597">
        <f t="shared" ref="C34:C42" si="32">SUM(H34,K34)</f>
        <v>0</v>
      </c>
      <c r="D34" s="366">
        <f t="shared" ref="D34:D42" si="33">SUM(I34,J34)</f>
        <v>0</v>
      </c>
      <c r="E34" s="366">
        <f t="shared" ref="E34:E47" si="34">M34</f>
        <v>0</v>
      </c>
      <c r="F34" s="366">
        <f t="shared" ref="F34:F42" si="35">L34</f>
        <v>0</v>
      </c>
      <c r="G34" s="599">
        <f t="shared" ref="G34:G44" si="36">SUM(C34:F34)</f>
        <v>0</v>
      </c>
      <c r="H34" s="566">
        <v>0</v>
      </c>
      <c r="I34" s="5">
        <v>0</v>
      </c>
      <c r="J34" s="5">
        <v>0</v>
      </c>
      <c r="K34" s="5">
        <v>0</v>
      </c>
      <c r="L34" s="5">
        <v>0</v>
      </c>
      <c r="M34" s="577">
        <v>0</v>
      </c>
    </row>
    <row r="35" spans="1:13" x14ac:dyDescent="0.35">
      <c r="A35">
        <v>17</v>
      </c>
      <c r="B35" t="s">
        <v>270</v>
      </c>
      <c r="C35" s="597">
        <f t="shared" si="32"/>
        <v>0</v>
      </c>
      <c r="D35" s="366">
        <f t="shared" si="33"/>
        <v>0</v>
      </c>
      <c r="E35" s="366">
        <f t="shared" si="34"/>
        <v>0</v>
      </c>
      <c r="F35" s="366">
        <f t="shared" si="35"/>
        <v>0</v>
      </c>
      <c r="G35" s="599">
        <f t="shared" si="36"/>
        <v>0</v>
      </c>
      <c r="H35" s="566">
        <v>0</v>
      </c>
      <c r="I35" s="5">
        <v>0</v>
      </c>
      <c r="J35" s="5">
        <v>0</v>
      </c>
      <c r="K35" s="5">
        <v>0</v>
      </c>
      <c r="L35" s="5">
        <v>0</v>
      </c>
      <c r="M35" s="577">
        <v>0</v>
      </c>
    </row>
    <row r="36" spans="1:13" x14ac:dyDescent="0.35">
      <c r="A36">
        <v>18</v>
      </c>
      <c r="B36" t="s">
        <v>271</v>
      </c>
      <c r="C36" s="597">
        <f t="shared" si="32"/>
        <v>0</v>
      </c>
      <c r="D36" s="366">
        <f t="shared" si="33"/>
        <v>0</v>
      </c>
      <c r="E36" s="366">
        <f t="shared" si="34"/>
        <v>0</v>
      </c>
      <c r="F36" s="366">
        <f t="shared" si="35"/>
        <v>0</v>
      </c>
      <c r="G36" s="599">
        <f t="shared" si="36"/>
        <v>0</v>
      </c>
      <c r="H36" s="566">
        <v>0</v>
      </c>
      <c r="I36" s="5">
        <v>0</v>
      </c>
      <c r="J36" s="5">
        <v>0</v>
      </c>
      <c r="K36" s="5">
        <v>0</v>
      </c>
      <c r="L36" s="5">
        <v>0</v>
      </c>
      <c r="M36" s="577">
        <v>0</v>
      </c>
    </row>
    <row r="37" spans="1:13" x14ac:dyDescent="0.35">
      <c r="A37">
        <v>19</v>
      </c>
      <c r="B37" t="s">
        <v>272</v>
      </c>
      <c r="C37" s="597">
        <f t="shared" si="32"/>
        <v>13563445.223893972</v>
      </c>
      <c r="D37" s="366">
        <f t="shared" si="33"/>
        <v>6767899.6922856104</v>
      </c>
      <c r="E37" s="366">
        <f t="shared" si="34"/>
        <v>0</v>
      </c>
      <c r="F37" s="366">
        <f t="shared" si="35"/>
        <v>3840063.98022677</v>
      </c>
      <c r="G37" s="599">
        <f t="shared" si="36"/>
        <v>24171408.896406353</v>
      </c>
      <c r="H37" s="566">
        <v>13468856.445981899</v>
      </c>
      <c r="I37" s="5">
        <v>0</v>
      </c>
      <c r="J37" s="5">
        <v>6767899.6922856104</v>
      </c>
      <c r="K37" s="5">
        <v>94588.777912072896</v>
      </c>
      <c r="L37" s="5">
        <v>3840063.98022677</v>
      </c>
      <c r="M37" s="577">
        <v>0</v>
      </c>
    </row>
    <row r="38" spans="1:13" x14ac:dyDescent="0.35">
      <c r="A38">
        <v>20</v>
      </c>
      <c r="B38" t="s">
        <v>273</v>
      </c>
      <c r="C38" s="597">
        <f t="shared" si="32"/>
        <v>652197.48074267874</v>
      </c>
      <c r="D38" s="366">
        <f t="shared" si="33"/>
        <v>744953.91201664403</v>
      </c>
      <c r="E38" s="366">
        <f t="shared" si="34"/>
        <v>0</v>
      </c>
      <c r="F38" s="366">
        <f t="shared" si="35"/>
        <v>347832.20284424</v>
      </c>
      <c r="G38" s="599">
        <f t="shared" si="36"/>
        <v>1744983.5956035627</v>
      </c>
      <c r="H38" s="566">
        <v>650889.39760471601</v>
      </c>
      <c r="I38" s="5">
        <v>0</v>
      </c>
      <c r="J38" s="5">
        <v>744953.91201664403</v>
      </c>
      <c r="K38" s="5">
        <v>1308.08313796274</v>
      </c>
      <c r="L38" s="5">
        <v>347832.20284424</v>
      </c>
      <c r="M38" s="577">
        <v>0</v>
      </c>
    </row>
    <row r="39" spans="1:13" x14ac:dyDescent="0.35">
      <c r="A39">
        <v>21</v>
      </c>
      <c r="B39" t="s">
        <v>274</v>
      </c>
      <c r="C39" s="597">
        <f t="shared" si="32"/>
        <v>-898485.14716465306</v>
      </c>
      <c r="D39" s="366">
        <f t="shared" si="33"/>
        <v>-226054.120764769</v>
      </c>
      <c r="E39" s="366">
        <f t="shared" si="34"/>
        <v>0</v>
      </c>
      <c r="F39" s="366">
        <f t="shared" si="35"/>
        <v>0</v>
      </c>
      <c r="G39" s="599">
        <f t="shared" si="36"/>
        <v>-1124539.267929422</v>
      </c>
      <c r="H39" s="566">
        <v>-898485.14716465306</v>
      </c>
      <c r="I39" s="5">
        <v>0</v>
      </c>
      <c r="J39" s="5">
        <v>-226054.120764769</v>
      </c>
      <c r="K39" s="5">
        <v>0</v>
      </c>
      <c r="L39" s="5">
        <v>0</v>
      </c>
      <c r="M39" s="577">
        <v>0</v>
      </c>
    </row>
    <row r="40" spans="1:13" x14ac:dyDescent="0.35">
      <c r="A40">
        <v>22</v>
      </c>
      <c r="B40" t="s">
        <v>275</v>
      </c>
      <c r="C40" s="597">
        <f t="shared" si="32"/>
        <v>-282462.5346209553</v>
      </c>
      <c r="D40" s="366">
        <f t="shared" si="33"/>
        <v>-97125.229753235602</v>
      </c>
      <c r="E40" s="366">
        <f t="shared" si="34"/>
        <v>0</v>
      </c>
      <c r="F40" s="366">
        <f t="shared" si="35"/>
        <v>1808.6323599960101</v>
      </c>
      <c r="G40" s="599">
        <f t="shared" si="36"/>
        <v>-377779.13201419485</v>
      </c>
      <c r="H40" s="566">
        <v>-282504.58601559902</v>
      </c>
      <c r="I40" s="5">
        <v>0</v>
      </c>
      <c r="J40" s="5">
        <v>-97125.229753235602</v>
      </c>
      <c r="K40" s="5">
        <v>42.051394643725303</v>
      </c>
      <c r="L40" s="5">
        <v>1808.6323599960101</v>
      </c>
      <c r="M40" s="577">
        <v>0</v>
      </c>
    </row>
    <row r="41" spans="1:13" x14ac:dyDescent="0.35">
      <c r="A41">
        <v>23</v>
      </c>
      <c r="B41" t="s">
        <v>276</v>
      </c>
      <c r="C41" s="597">
        <f t="shared" si="32"/>
        <v>862399.84243803995</v>
      </c>
      <c r="D41" s="366">
        <f t="shared" si="33"/>
        <v>561002.35310783703</v>
      </c>
      <c r="E41" s="366">
        <f t="shared" si="34"/>
        <v>0</v>
      </c>
      <c r="F41" s="366">
        <f t="shared" si="35"/>
        <v>254650.38235319901</v>
      </c>
      <c r="G41" s="599">
        <f t="shared" si="36"/>
        <v>1678052.5778990758</v>
      </c>
      <c r="H41" s="566">
        <v>856583.70886726095</v>
      </c>
      <c r="I41" s="5">
        <v>0</v>
      </c>
      <c r="J41" s="5">
        <v>561002.35310783703</v>
      </c>
      <c r="K41" s="5">
        <v>5816.1335707789904</v>
      </c>
      <c r="L41" s="5">
        <v>254650.38235319901</v>
      </c>
      <c r="M41" s="577">
        <v>0</v>
      </c>
    </row>
    <row r="42" spans="1:13" x14ac:dyDescent="0.35">
      <c r="A42">
        <v>24</v>
      </c>
      <c r="B42" t="s">
        <v>294</v>
      </c>
      <c r="C42" s="597">
        <f t="shared" si="32"/>
        <v>720548.07071649889</v>
      </c>
      <c r="D42" s="366">
        <f t="shared" si="33"/>
        <v>375642.68021511199</v>
      </c>
      <c r="E42" s="366">
        <f t="shared" si="34"/>
        <v>0</v>
      </c>
      <c r="F42" s="366">
        <f t="shared" si="35"/>
        <v>209394.809153551</v>
      </c>
      <c r="G42" s="599">
        <f t="shared" si="36"/>
        <v>1305585.5600851618</v>
      </c>
      <c r="H42" s="566">
        <v>713586.820716633</v>
      </c>
      <c r="I42" s="5">
        <v>0</v>
      </c>
      <c r="J42" s="5">
        <v>375642.68021511199</v>
      </c>
      <c r="K42" s="5">
        <v>6961.2499998659096</v>
      </c>
      <c r="L42" s="5">
        <v>209394.809153551</v>
      </c>
      <c r="M42" s="577">
        <v>0</v>
      </c>
    </row>
    <row r="43" spans="1:13" x14ac:dyDescent="0.35">
      <c r="A43">
        <v>25</v>
      </c>
      <c r="B43" t="s">
        <v>295</v>
      </c>
      <c r="C43" s="347"/>
      <c r="E43" s="366"/>
      <c r="G43" s="348"/>
      <c r="H43" s="566"/>
      <c r="M43" s="577"/>
    </row>
    <row r="44" spans="1:13" x14ac:dyDescent="0.35">
      <c r="B44" s="350" t="s">
        <v>296</v>
      </c>
      <c r="C44" s="578">
        <f>SUM(C34:C43)</f>
        <v>14617642.936005581</v>
      </c>
      <c r="D44" s="578">
        <f t="shared" ref="D44:F44" si="37">SUM(D34:D43)</f>
        <v>8126319.2871071994</v>
      </c>
      <c r="E44" s="578">
        <f t="shared" si="37"/>
        <v>0</v>
      </c>
      <c r="F44" s="578">
        <f t="shared" si="37"/>
        <v>4653750.0069377562</v>
      </c>
      <c r="G44" s="630">
        <f t="shared" si="36"/>
        <v>27397712.230050538</v>
      </c>
      <c r="H44" s="578">
        <f>SUM(H34:H43)</f>
        <v>14508926.639990257</v>
      </c>
      <c r="I44" s="578">
        <f t="shared" ref="I44:M44" si="38">SUM(I34:I43)</f>
        <v>0</v>
      </c>
      <c r="J44" s="578">
        <f t="shared" si="38"/>
        <v>8126319.2871071994</v>
      </c>
      <c r="K44" s="578">
        <f t="shared" si="38"/>
        <v>108716.29601532425</v>
      </c>
      <c r="L44" s="578">
        <f t="shared" si="38"/>
        <v>4653750.0069377562</v>
      </c>
      <c r="M44" s="578">
        <f t="shared" si="38"/>
        <v>0</v>
      </c>
    </row>
    <row r="45" spans="1:13" x14ac:dyDescent="0.35">
      <c r="A45">
        <v>26</v>
      </c>
      <c r="B45" t="s">
        <v>278</v>
      </c>
      <c r="C45" s="597">
        <f t="shared" ref="C45:C46" si="39">SUM(H45,K45)</f>
        <v>3539264.7469773497</v>
      </c>
      <c r="D45" s="366">
        <f t="shared" ref="D45:D47" si="40">SUM(I45,J45)</f>
        <v>3769886.8480523201</v>
      </c>
      <c r="E45" s="366">
        <f t="shared" si="34"/>
        <v>156798.84122594999</v>
      </c>
      <c r="F45" s="366">
        <f t="shared" ref="F45:F47" si="41">L45</f>
        <v>496107.19</v>
      </c>
      <c r="G45" s="599">
        <f t="shared" ref="G45:G48" si="42">SUM(C45:F45)</f>
        <v>7962057.6262556203</v>
      </c>
      <c r="H45" s="566">
        <v>2089271.0845550101</v>
      </c>
      <c r="I45" s="5">
        <v>1454790.82744243</v>
      </c>
      <c r="J45" s="5">
        <v>2315096.0206098901</v>
      </c>
      <c r="K45" s="5">
        <v>1449993.6624223399</v>
      </c>
      <c r="L45" s="5">
        <v>496107.19</v>
      </c>
      <c r="M45" s="577">
        <v>156798.84122594999</v>
      </c>
    </row>
    <row r="46" spans="1:13" x14ac:dyDescent="0.35">
      <c r="A46">
        <v>27</v>
      </c>
      <c r="B46" t="s">
        <v>279</v>
      </c>
      <c r="C46" s="597">
        <f t="shared" si="39"/>
        <v>1318036.0664976579</v>
      </c>
      <c r="D46" s="366">
        <f t="shared" si="40"/>
        <v>2455480.08</v>
      </c>
      <c r="E46" s="366">
        <f t="shared" si="34"/>
        <v>0</v>
      </c>
      <c r="F46" s="366">
        <f t="shared" si="41"/>
        <v>254445.81</v>
      </c>
      <c r="G46" s="599">
        <f t="shared" si="42"/>
        <v>4027961.956497658</v>
      </c>
      <c r="H46" s="566">
        <v>1225016.5375000001</v>
      </c>
      <c r="I46" s="5">
        <v>0</v>
      </c>
      <c r="J46" s="5">
        <v>2455480.08</v>
      </c>
      <c r="K46" s="5">
        <v>93019.528997657704</v>
      </c>
      <c r="L46" s="5">
        <v>254445.81</v>
      </c>
      <c r="M46" s="577">
        <v>0</v>
      </c>
    </row>
    <row r="47" spans="1:13" x14ac:dyDescent="0.35">
      <c r="A47">
        <v>28</v>
      </c>
      <c r="B47" s="351" t="s">
        <v>280</v>
      </c>
      <c r="C47" s="598">
        <f t="shared" ref="C47" si="43">SUM(H47,K47,L47)</f>
        <v>0</v>
      </c>
      <c r="D47" s="366">
        <f t="shared" si="40"/>
        <v>0</v>
      </c>
      <c r="E47" s="366">
        <f t="shared" si="34"/>
        <v>0</v>
      </c>
      <c r="F47" s="366">
        <f t="shared" si="41"/>
        <v>0</v>
      </c>
      <c r="G47" s="599">
        <f t="shared" si="42"/>
        <v>0</v>
      </c>
      <c r="H47" s="567">
        <v>0</v>
      </c>
      <c r="I47" s="580">
        <v>0</v>
      </c>
      <c r="J47" s="580">
        <v>0</v>
      </c>
      <c r="K47" s="580">
        <v>0</v>
      </c>
      <c r="L47" s="580">
        <v>0</v>
      </c>
      <c r="M47" s="581">
        <v>0</v>
      </c>
    </row>
    <row r="48" spans="1:13" x14ac:dyDescent="0.35">
      <c r="B48" s="352" t="s">
        <v>297</v>
      </c>
      <c r="C48" s="582">
        <f>SUM(C45:C47)</f>
        <v>4857300.8134750072</v>
      </c>
      <c r="D48" s="628">
        <f t="shared" ref="D48:F48" si="44">SUM(D45:D47)</f>
        <v>6225366.9280523201</v>
      </c>
      <c r="E48" s="628">
        <f t="shared" si="44"/>
        <v>156798.84122594999</v>
      </c>
      <c r="F48" s="628">
        <f t="shared" si="44"/>
        <v>750553</v>
      </c>
      <c r="G48" s="629">
        <f t="shared" si="42"/>
        <v>11990019.582753276</v>
      </c>
      <c r="H48" s="582">
        <f>SUM(H45:H47)</f>
        <v>3314287.6220550099</v>
      </c>
      <c r="I48" s="582">
        <f t="shared" ref="I48:M48" si="45">SUM(I45:I47)</f>
        <v>1454790.82744243</v>
      </c>
      <c r="J48" s="582">
        <f t="shared" si="45"/>
        <v>4770576.1006098902</v>
      </c>
      <c r="K48" s="582">
        <f t="shared" si="45"/>
        <v>1543013.1914199977</v>
      </c>
      <c r="L48" s="582">
        <f t="shared" si="45"/>
        <v>750553</v>
      </c>
      <c r="M48" s="592">
        <f t="shared" si="45"/>
        <v>156798.84122594999</v>
      </c>
    </row>
    <row r="49" spans="2:13" ht="15" thickBot="1" x14ac:dyDescent="0.4">
      <c r="B49" s="353" t="s">
        <v>298</v>
      </c>
      <c r="C49" s="569">
        <f>IFERROR(C44/C48,0)</f>
        <v>3.0094168546147415</v>
      </c>
      <c r="D49" s="569">
        <f t="shared" ref="D49:F49" si="46">IFERROR(D44/D48,0)</f>
        <v>1.3053558739628566</v>
      </c>
      <c r="E49" s="569">
        <f t="shared" si="46"/>
        <v>0</v>
      </c>
      <c r="F49" s="569">
        <f t="shared" si="46"/>
        <v>6.2004282268377535</v>
      </c>
      <c r="G49" s="569">
        <f t="shared" ref="G49" si="47">G44/G48</f>
        <v>2.285043159517441</v>
      </c>
      <c r="H49" s="569">
        <f>H44/H48</f>
        <v>4.3776908628690645</v>
      </c>
      <c r="I49" s="569">
        <f t="shared" ref="I49:M49" si="48">I44/I48</f>
        <v>0</v>
      </c>
      <c r="J49" s="569">
        <f t="shared" si="48"/>
        <v>1.7034251452499201</v>
      </c>
      <c r="K49" s="569">
        <f t="shared" si="48"/>
        <v>7.0457139718472062E-2</v>
      </c>
      <c r="L49" s="569">
        <f t="shared" si="48"/>
        <v>6.2004282268377535</v>
      </c>
      <c r="M49" s="593">
        <f t="shared" si="48"/>
        <v>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4659260841701"/>
  </sheetPr>
  <dimension ref="B1:D34"/>
  <sheetViews>
    <sheetView workbookViewId="0"/>
  </sheetViews>
  <sheetFormatPr defaultColWidth="9.1796875" defaultRowHeight="15.5" x14ac:dyDescent="0.35"/>
  <cols>
    <col min="1" max="1" width="3.7265625" style="836" customWidth="1"/>
    <col min="2" max="2" width="80.7265625" style="836" customWidth="1"/>
    <col min="3" max="3" width="60.7265625" style="836" customWidth="1"/>
    <col min="4" max="4" width="90.7265625" style="836" customWidth="1"/>
    <col min="5" max="16384" width="9.1796875" style="836"/>
  </cols>
  <sheetData>
    <row r="1" spans="2:4" x14ac:dyDescent="0.35">
      <c r="B1" s="844" t="s">
        <v>299</v>
      </c>
      <c r="D1" s="844" t="s">
        <v>300</v>
      </c>
    </row>
    <row r="2" spans="2:4" ht="21" customHeight="1" x14ac:dyDescent="0.35">
      <c r="B2" s="836" t="s">
        <v>301</v>
      </c>
    </row>
    <row r="3" spans="2:4" x14ac:dyDescent="0.35">
      <c r="D3" s="836" t="s">
        <v>302</v>
      </c>
    </row>
    <row r="4" spans="2:4" x14ac:dyDescent="0.35">
      <c r="B4" s="837" t="s">
        <v>303</v>
      </c>
    </row>
    <row r="5" spans="2:4" x14ac:dyDescent="0.35">
      <c r="B5" s="837" t="s">
        <v>304</v>
      </c>
    </row>
    <row r="6" spans="2:4" x14ac:dyDescent="0.35">
      <c r="B6" s="838"/>
    </row>
    <row r="7" spans="2:4" x14ac:dyDescent="0.35">
      <c r="B7" s="838"/>
    </row>
    <row r="8" spans="2:4" ht="18" x14ac:dyDescent="0.35">
      <c r="B8" s="843" t="s">
        <v>305</v>
      </c>
    </row>
    <row r="9" spans="2:4" ht="54.75" customHeight="1" x14ac:dyDescent="0.35">
      <c r="B9" s="839" t="s">
        <v>306</v>
      </c>
    </row>
    <row r="10" spans="2:4" x14ac:dyDescent="0.35">
      <c r="B10" s="840"/>
    </row>
    <row r="11" spans="2:4" ht="78.75" customHeight="1" x14ac:dyDescent="0.35">
      <c r="B11" s="839" t="s">
        <v>307</v>
      </c>
    </row>
    <row r="12" spans="2:4" x14ac:dyDescent="0.35">
      <c r="B12" s="839"/>
    </row>
    <row r="13" spans="2:4" x14ac:dyDescent="0.35">
      <c r="B13" s="839"/>
    </row>
    <row r="14" spans="2:4" x14ac:dyDescent="0.35">
      <c r="B14" s="839"/>
    </row>
    <row r="15" spans="2:4" ht="18" x14ac:dyDescent="0.35">
      <c r="B15" s="843" t="s">
        <v>308</v>
      </c>
    </row>
    <row r="16" spans="2:4" x14ac:dyDescent="0.35">
      <c r="B16" s="839"/>
    </row>
    <row r="17" spans="2:2" ht="36" x14ac:dyDescent="0.35">
      <c r="B17" s="839" t="s">
        <v>309</v>
      </c>
    </row>
    <row r="18" spans="2:2" x14ac:dyDescent="0.35">
      <c r="B18" s="839"/>
    </row>
    <row r="19" spans="2:2" ht="136.5" customHeight="1" x14ac:dyDescent="0.35">
      <c r="B19" s="839"/>
    </row>
    <row r="20" spans="2:2" x14ac:dyDescent="0.35">
      <c r="B20" s="839"/>
    </row>
    <row r="21" spans="2:2" x14ac:dyDescent="0.35">
      <c r="B21" s="839"/>
    </row>
    <row r="22" spans="2:2" ht="40.5" customHeight="1" x14ac:dyDescent="0.35">
      <c r="B22" s="839" t="s">
        <v>310</v>
      </c>
    </row>
    <row r="23" spans="2:2" x14ac:dyDescent="0.35">
      <c r="B23" s="840"/>
    </row>
    <row r="24" spans="2:2" x14ac:dyDescent="0.35">
      <c r="B24" s="839"/>
    </row>
    <row r="25" spans="2:2" x14ac:dyDescent="0.35">
      <c r="B25" s="839"/>
    </row>
    <row r="26" spans="2:2" ht="75.75" customHeight="1" x14ac:dyDescent="0.35">
      <c r="B26" s="839" t="s">
        <v>311</v>
      </c>
    </row>
    <row r="27" spans="2:2" x14ac:dyDescent="0.35">
      <c r="B27" s="839"/>
    </row>
    <row r="28" spans="2:2" x14ac:dyDescent="0.35">
      <c r="B28" s="841" t="s">
        <v>312</v>
      </c>
    </row>
    <row r="29" spans="2:2" x14ac:dyDescent="0.35">
      <c r="B29" s="841" t="s">
        <v>313</v>
      </c>
    </row>
    <row r="30" spans="2:2" ht="31" x14ac:dyDescent="0.35">
      <c r="B30" s="841" t="s">
        <v>314</v>
      </c>
    </row>
    <row r="31" spans="2:2" x14ac:dyDescent="0.35">
      <c r="B31" s="842"/>
    </row>
    <row r="33" spans="2:2" x14ac:dyDescent="0.35">
      <c r="B33" s="836" t="s">
        <v>315</v>
      </c>
    </row>
    <row r="34" spans="2:2" x14ac:dyDescent="0.35">
      <c r="B34" s="836" t="s">
        <v>316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4659260841701"/>
    <pageSetUpPr fitToPage="1"/>
  </sheetPr>
  <dimension ref="A1:AM73"/>
  <sheetViews>
    <sheetView tabSelected="1" zoomScale="80" zoomScaleNormal="80" workbookViewId="0">
      <selection activeCell="F2" sqref="F2"/>
    </sheetView>
  </sheetViews>
  <sheetFormatPr defaultColWidth="9.453125" defaultRowHeight="14.5" x14ac:dyDescent="0.35"/>
  <cols>
    <col min="1" max="1" width="4.453125" customWidth="1"/>
    <col min="2" max="2" width="42.453125" customWidth="1"/>
    <col min="3" max="3" width="40.7265625" customWidth="1"/>
    <col min="4" max="4" width="15.26953125" bestFit="1" customWidth="1"/>
    <col min="5" max="8" width="13.453125" customWidth="1"/>
    <col min="9" max="9" width="24" customWidth="1"/>
    <col min="10" max="13" width="13.453125" customWidth="1"/>
    <col min="14" max="16" width="14.453125" style="2" customWidth="1"/>
    <col min="17" max="17" width="14.453125" style="3" customWidth="1"/>
    <col min="18" max="18" width="14.453125" customWidth="1"/>
    <col min="19" max="19" width="16.453125" hidden="1" customWidth="1"/>
    <col min="20" max="20" width="16.453125" style="5" hidden="1" customWidth="1"/>
    <col min="21" max="22" width="16.453125" hidden="1" customWidth="1"/>
    <col min="23" max="23" width="15.453125" style="2" customWidth="1"/>
    <col min="24" max="24" width="24.453125" style="2" customWidth="1"/>
    <col min="25" max="25" width="31.453125" bestFit="1" customWidth="1"/>
    <col min="27" max="27" width="6.26953125" bestFit="1" customWidth="1"/>
    <col min="29" max="29" width="48.26953125" bestFit="1" customWidth="1"/>
    <col min="30" max="32" width="9.453125" hidden="1" customWidth="1"/>
    <col min="33" max="33" width="9.26953125" bestFit="1" customWidth="1"/>
  </cols>
  <sheetData>
    <row r="1" spans="1:35" ht="23.5" x14ac:dyDescent="0.55000000000000004">
      <c r="A1" s="1" t="s">
        <v>0</v>
      </c>
      <c r="D1" s="682"/>
      <c r="E1" s="682"/>
      <c r="F1" s="682"/>
      <c r="G1" s="682"/>
      <c r="P1" s="500"/>
      <c r="S1" s="951"/>
      <c r="T1" s="951"/>
      <c r="U1" s="951"/>
      <c r="V1" s="951"/>
      <c r="W1" s="145"/>
      <c r="X1" s="145"/>
    </row>
    <row r="2" spans="1:35" x14ac:dyDescent="0.35">
      <c r="D2" s="682"/>
      <c r="E2" s="682"/>
      <c r="F2" s="682"/>
      <c r="G2" s="682"/>
      <c r="S2" s="951"/>
      <c r="T2" s="951"/>
      <c r="U2" s="951"/>
      <c r="V2" s="951"/>
      <c r="W2" s="145"/>
      <c r="X2" s="145"/>
    </row>
    <row r="3" spans="1:35" ht="19" thickBot="1" x14ac:dyDescent="0.5">
      <c r="A3" s="6"/>
      <c r="B3" s="6" t="s">
        <v>55</v>
      </c>
      <c r="C3" s="650" t="s">
        <v>56</v>
      </c>
      <c r="I3" s="6"/>
      <c r="J3" s="6"/>
      <c r="K3" s="6"/>
      <c r="L3" s="6"/>
      <c r="M3" s="6"/>
      <c r="Q3" s="93"/>
      <c r="S3" s="952"/>
      <c r="T3" s="952"/>
      <c r="U3" s="952"/>
      <c r="V3" s="952"/>
      <c r="W3" s="145"/>
      <c r="X3" s="145"/>
    </row>
    <row r="4" spans="1:35" ht="15" thickBot="1" x14ac:dyDescent="0.4">
      <c r="A4" t="s">
        <v>2</v>
      </c>
      <c r="B4" s="554"/>
      <c r="C4" s="138"/>
      <c r="D4" s="956" t="s">
        <v>7</v>
      </c>
      <c r="E4" s="956"/>
      <c r="F4" s="956"/>
      <c r="G4" s="957"/>
      <c r="H4" s="958" t="s">
        <v>6</v>
      </c>
      <c r="I4" s="959"/>
      <c r="J4" s="959"/>
      <c r="K4" s="959"/>
      <c r="L4" s="937" t="s">
        <v>57</v>
      </c>
      <c r="M4" s="937"/>
      <c r="N4" s="937"/>
      <c r="O4" s="937"/>
      <c r="P4" s="937"/>
      <c r="Q4" s="937"/>
      <c r="R4" s="937"/>
      <c r="S4" s="953" t="s">
        <v>58</v>
      </c>
      <c r="T4" s="954"/>
      <c r="U4" s="954"/>
      <c r="V4" s="955"/>
      <c r="W4" s="153"/>
      <c r="X4" s="153"/>
    </row>
    <row r="5" spans="1:35" x14ac:dyDescent="0.35">
      <c r="B5" s="555"/>
      <c r="C5" s="141"/>
      <c r="D5" s="139" t="s">
        <v>10</v>
      </c>
      <c r="E5" s="127" t="s">
        <v>11</v>
      </c>
      <c r="F5" s="127" t="s">
        <v>12</v>
      </c>
      <c r="G5" s="127" t="s">
        <v>59</v>
      </c>
      <c r="H5" s="134" t="s">
        <v>14</v>
      </c>
      <c r="I5" s="135" t="s">
        <v>15</v>
      </c>
      <c r="J5" s="135" t="s">
        <v>60</v>
      </c>
      <c r="K5" s="135" t="s">
        <v>61</v>
      </c>
      <c r="L5" s="131" t="s">
        <v>17</v>
      </c>
      <c r="M5" s="131" t="s">
        <v>62</v>
      </c>
      <c r="N5" s="9" t="s">
        <v>19</v>
      </c>
      <c r="O5" s="131" t="s">
        <v>63</v>
      </c>
      <c r="P5" s="131" t="s">
        <v>64</v>
      </c>
      <c r="Q5" s="127" t="s">
        <v>65</v>
      </c>
      <c r="R5" s="155" t="s">
        <v>66</v>
      </c>
      <c r="S5" s="101" t="s">
        <v>67</v>
      </c>
      <c r="T5" s="258" t="s">
        <v>68</v>
      </c>
      <c r="U5" s="258" t="s">
        <v>69</v>
      </c>
      <c r="V5" s="102" t="s">
        <v>70</v>
      </c>
      <c r="W5" s="145"/>
      <c r="X5" s="145"/>
      <c r="Y5" s="256"/>
      <c r="Z5" s="256"/>
      <c r="AA5" s="256"/>
      <c r="AB5" s="256"/>
    </row>
    <row r="6" spans="1:35" ht="58.5" thickBot="1" x14ac:dyDescent="0.4">
      <c r="B6" s="556"/>
      <c r="C6" s="140"/>
      <c r="D6" s="142" t="s">
        <v>71</v>
      </c>
      <c r="E6" s="143" t="s">
        <v>72</v>
      </c>
      <c r="F6" s="143" t="s">
        <v>73</v>
      </c>
      <c r="G6" s="143" t="s">
        <v>74</v>
      </c>
      <c r="H6" s="136" t="s">
        <v>75</v>
      </c>
      <c r="I6" s="137" t="s">
        <v>76</v>
      </c>
      <c r="J6" s="137" t="s">
        <v>77</v>
      </c>
      <c r="K6" s="137" t="s">
        <v>78</v>
      </c>
      <c r="L6" s="132" t="s">
        <v>79</v>
      </c>
      <c r="M6" s="132" t="s">
        <v>80</v>
      </c>
      <c r="N6" s="319" t="s">
        <v>81</v>
      </c>
      <c r="O6" s="133" t="s">
        <v>82</v>
      </c>
      <c r="P6" s="133" t="s">
        <v>83</v>
      </c>
      <c r="Q6" s="12" t="s">
        <v>84</v>
      </c>
      <c r="R6" s="133" t="s">
        <v>85</v>
      </c>
      <c r="S6" s="261" t="s">
        <v>86</v>
      </c>
      <c r="T6" s="260" t="s">
        <v>87</v>
      </c>
      <c r="U6" s="261" t="s">
        <v>88</v>
      </c>
      <c r="V6" s="260" t="s">
        <v>89</v>
      </c>
      <c r="W6" s="145"/>
      <c r="X6" s="367"/>
      <c r="Y6" s="339"/>
      <c r="AA6" s="518" t="s">
        <v>90</v>
      </c>
      <c r="AB6" s="518" t="s">
        <v>91</v>
      </c>
      <c r="AC6" s="518" t="s">
        <v>92</v>
      </c>
      <c r="AD6" s="519" t="s">
        <v>93</v>
      </c>
      <c r="AE6" s="519" t="s">
        <v>94</v>
      </c>
      <c r="AF6" s="519" t="s">
        <v>95</v>
      </c>
      <c r="AG6" s="519" t="s">
        <v>93</v>
      </c>
      <c r="AH6" s="519" t="s">
        <v>94</v>
      </c>
      <c r="AI6" s="519" t="s">
        <v>95</v>
      </c>
    </row>
    <row r="7" spans="1:35" ht="17" thickBot="1" x14ac:dyDescent="0.4">
      <c r="B7" s="159" t="s">
        <v>31</v>
      </c>
      <c r="C7" s="228" t="s">
        <v>96</v>
      </c>
      <c r="D7" s="171"/>
      <c r="E7" s="172"/>
      <c r="F7" s="173"/>
      <c r="G7" s="193"/>
      <c r="H7" s="171"/>
      <c r="I7" s="172"/>
      <c r="J7" s="173"/>
      <c r="K7" s="193"/>
      <c r="L7" s="215"/>
      <c r="M7" s="172"/>
      <c r="N7" s="216"/>
      <c r="O7" s="195"/>
      <c r="P7" s="216"/>
      <c r="Q7" s="216"/>
      <c r="R7" s="262"/>
      <c r="S7" s="813"/>
      <c r="T7" s="262"/>
      <c r="U7" s="262"/>
      <c r="V7" s="229"/>
      <c r="W7" s="517"/>
      <c r="X7" s="364"/>
      <c r="Y7" s="368"/>
      <c r="AA7" s="520">
        <v>1</v>
      </c>
      <c r="AB7" s="520" t="s">
        <v>97</v>
      </c>
      <c r="AC7" s="520" t="s">
        <v>98</v>
      </c>
      <c r="AD7" s="521">
        <v>0.115</v>
      </c>
      <c r="AE7" s="521">
        <v>0.13400000000000001</v>
      </c>
      <c r="AF7" s="521">
        <v>1.4999999999999999E-2</v>
      </c>
      <c r="AG7" s="522">
        <f>(AD7+1)</f>
        <v>1.115</v>
      </c>
      <c r="AH7" s="522">
        <f t="shared" ref="AH7:AI17" si="0">(AE7+1)</f>
        <v>1.1339999999999999</v>
      </c>
      <c r="AI7" s="522">
        <f t="shared" si="0"/>
        <v>1.0149999999999999</v>
      </c>
    </row>
    <row r="8" spans="1:35" ht="15" thickBot="1" x14ac:dyDescent="0.4">
      <c r="B8" s="949" t="s">
        <v>99</v>
      </c>
      <c r="C8" s="168" t="s">
        <v>100</v>
      </c>
      <c r="D8" s="684">
        <v>402</v>
      </c>
      <c r="E8" s="409" t="s">
        <v>101</v>
      </c>
      <c r="F8" s="217">
        <v>402</v>
      </c>
      <c r="G8" s="410" t="s">
        <v>101</v>
      </c>
      <c r="H8" s="683">
        <f>378.44+25.06</f>
        <v>403.5</v>
      </c>
      <c r="I8" s="278" t="s">
        <v>101</v>
      </c>
      <c r="J8" s="278">
        <f t="shared" ref="J8:J13" si="1">H8</f>
        <v>403.5</v>
      </c>
      <c r="K8" s="281" t="s">
        <v>101</v>
      </c>
      <c r="L8" s="684">
        <v>204.47298999999995</v>
      </c>
      <c r="M8" s="217" t="s">
        <v>101</v>
      </c>
      <c r="N8" s="230">
        <v>204.47298999999995</v>
      </c>
      <c r="O8" s="196" t="s">
        <v>101</v>
      </c>
      <c r="P8" s="685">
        <f>L8*$AG$8</f>
        <v>227.98738384999996</v>
      </c>
      <c r="Q8" s="702">
        <v>8.5999999999999993E-2</v>
      </c>
      <c r="R8" s="817">
        <v>3275</v>
      </c>
      <c r="S8" s="814">
        <v>3275</v>
      </c>
      <c r="T8" s="656">
        <v>8.5999999999999993E-2</v>
      </c>
      <c r="U8" s="858">
        <f t="shared" ref="U8:U13" si="2">R8*$AG$8</f>
        <v>3651.625</v>
      </c>
      <c r="V8" s="859">
        <f t="shared" ref="V8:V13" si="3">T8*$AH$8</f>
        <v>9.7523999999999986E-2</v>
      </c>
      <c r="X8" s="145"/>
      <c r="Y8" s="256"/>
      <c r="Z8" s="93"/>
      <c r="AA8" s="520">
        <v>2</v>
      </c>
      <c r="AB8" s="520" t="s">
        <v>97</v>
      </c>
      <c r="AC8" s="520" t="s">
        <v>33</v>
      </c>
      <c r="AD8" s="521">
        <v>0.115</v>
      </c>
      <c r="AE8" s="521">
        <v>0.13400000000000001</v>
      </c>
      <c r="AF8" s="521">
        <v>1.4999999999999999E-2</v>
      </c>
      <c r="AG8" s="522">
        <f t="shared" ref="AG8:AG17" si="4">(AD8+1)</f>
        <v>1.115</v>
      </c>
      <c r="AH8" s="522">
        <f t="shared" si="0"/>
        <v>1.1339999999999999</v>
      </c>
      <c r="AI8" s="522">
        <f t="shared" si="0"/>
        <v>1.0149999999999999</v>
      </c>
    </row>
    <row r="9" spans="1:35" ht="15" thickBot="1" x14ac:dyDescent="0.4">
      <c r="B9" s="950"/>
      <c r="C9" s="255" t="s">
        <v>102</v>
      </c>
      <c r="D9" s="693">
        <v>1037</v>
      </c>
      <c r="E9" s="411" t="s">
        <v>101</v>
      </c>
      <c r="F9" s="219">
        <v>1037</v>
      </c>
      <c r="G9" s="412" t="s">
        <v>101</v>
      </c>
      <c r="H9" s="686">
        <f>158.57+25.01</f>
        <v>183.57999999999998</v>
      </c>
      <c r="I9" s="279" t="s">
        <v>101</v>
      </c>
      <c r="J9" s="278">
        <f t="shared" si="1"/>
        <v>183.57999999999998</v>
      </c>
      <c r="K9" s="282" t="s">
        <v>101</v>
      </c>
      <c r="L9" s="687">
        <v>124.91993900000001</v>
      </c>
      <c r="M9" s="280" t="s">
        <v>101</v>
      </c>
      <c r="N9" s="688">
        <v>124.91993900000001</v>
      </c>
      <c r="O9" s="283" t="s">
        <v>101</v>
      </c>
      <c r="P9" s="685">
        <f t="shared" ref="P9:P12" si="5">L9*$AG$8</f>
        <v>139.28573198500001</v>
      </c>
      <c r="Q9" s="689">
        <v>1.6E-2</v>
      </c>
      <c r="R9" s="818">
        <v>1402</v>
      </c>
      <c r="S9" s="815">
        <v>1402</v>
      </c>
      <c r="T9" s="657">
        <v>1.6E-2</v>
      </c>
      <c r="U9" s="858">
        <f t="shared" si="2"/>
        <v>1563.23</v>
      </c>
      <c r="V9" s="859">
        <f t="shared" si="3"/>
        <v>1.8144E-2</v>
      </c>
      <c r="W9" s="145"/>
      <c r="X9" s="145"/>
      <c r="Y9" s="339"/>
      <c r="AA9" s="520">
        <v>3</v>
      </c>
      <c r="AB9" s="520" t="s">
        <v>97</v>
      </c>
      <c r="AC9" s="523" t="s">
        <v>103</v>
      </c>
      <c r="AD9" s="521">
        <v>0.115</v>
      </c>
      <c r="AE9" s="521">
        <v>0.13400000000000001</v>
      </c>
      <c r="AF9" s="521">
        <v>1.4999999999999999E-2</v>
      </c>
      <c r="AG9" s="522">
        <f t="shared" si="4"/>
        <v>1.115</v>
      </c>
      <c r="AH9" s="522">
        <f t="shared" si="0"/>
        <v>1.1339999999999999</v>
      </c>
      <c r="AI9" s="522">
        <f t="shared" si="0"/>
        <v>1.0149999999999999</v>
      </c>
    </row>
    <row r="10" spans="1:35" ht="15" thickBot="1" x14ac:dyDescent="0.4">
      <c r="B10" s="950"/>
      <c r="C10" s="255" t="s">
        <v>104</v>
      </c>
      <c r="D10" s="693">
        <v>552</v>
      </c>
      <c r="E10" s="413" t="s">
        <v>101</v>
      </c>
      <c r="F10" s="219">
        <v>552</v>
      </c>
      <c r="G10" s="412" t="s">
        <v>101</v>
      </c>
      <c r="H10" s="686">
        <f>178.06+25.01</f>
        <v>203.07</v>
      </c>
      <c r="I10" s="279" t="s">
        <v>101</v>
      </c>
      <c r="J10" s="278">
        <f t="shared" si="1"/>
        <v>203.07</v>
      </c>
      <c r="K10" s="282" t="s">
        <v>101</v>
      </c>
      <c r="L10" s="687">
        <v>614.04499999999996</v>
      </c>
      <c r="M10" s="280" t="s">
        <v>101</v>
      </c>
      <c r="N10" s="688">
        <v>614.04499999999996</v>
      </c>
      <c r="O10" s="283" t="s">
        <v>101</v>
      </c>
      <c r="P10" s="685">
        <f t="shared" si="5"/>
        <v>684.66017499999998</v>
      </c>
      <c r="Q10" s="689">
        <v>9.9000000000000005E-2</v>
      </c>
      <c r="R10" s="818">
        <v>2995</v>
      </c>
      <c r="S10" s="815">
        <v>2995</v>
      </c>
      <c r="T10" s="657">
        <v>9.9000000000000005E-2</v>
      </c>
      <c r="U10" s="858">
        <f t="shared" si="2"/>
        <v>3339.4250000000002</v>
      </c>
      <c r="V10" s="859">
        <f t="shared" si="3"/>
        <v>0.11226599999999999</v>
      </c>
      <c r="W10" s="145"/>
      <c r="X10" s="145"/>
      <c r="AA10" s="520">
        <v>4</v>
      </c>
      <c r="AB10" s="520" t="s">
        <v>97</v>
      </c>
      <c r="AC10" s="520" t="s">
        <v>105</v>
      </c>
      <c r="AD10" s="521">
        <v>0.115</v>
      </c>
      <c r="AE10" s="521">
        <v>0.13400000000000001</v>
      </c>
      <c r="AF10" s="521">
        <v>1.4999999999999999E-2</v>
      </c>
      <c r="AG10" s="522">
        <f t="shared" si="4"/>
        <v>1.115</v>
      </c>
      <c r="AH10" s="522">
        <f t="shared" si="0"/>
        <v>1.1339999999999999</v>
      </c>
      <c r="AI10" s="522">
        <f t="shared" si="0"/>
        <v>1.0149999999999999</v>
      </c>
    </row>
    <row r="11" spans="1:35" ht="15" thickBot="1" x14ac:dyDescent="0.4">
      <c r="B11" s="950"/>
      <c r="C11" s="255" t="s">
        <v>106</v>
      </c>
      <c r="D11" s="693">
        <v>514</v>
      </c>
      <c r="E11" s="413" t="s">
        <v>101</v>
      </c>
      <c r="F11" s="219">
        <v>514</v>
      </c>
      <c r="G11" s="414" t="s">
        <v>101</v>
      </c>
      <c r="H11" s="686">
        <f>90.2</f>
        <v>90.2</v>
      </c>
      <c r="I11" s="279" t="s">
        <v>101</v>
      </c>
      <c r="J11" s="278">
        <f t="shared" si="1"/>
        <v>90.2</v>
      </c>
      <c r="K11" s="282" t="s">
        <v>101</v>
      </c>
      <c r="L11" s="703">
        <v>74</v>
      </c>
      <c r="M11" s="280" t="s">
        <v>101</v>
      </c>
      <c r="N11" s="846">
        <v>74</v>
      </c>
      <c r="O11" s="283" t="s">
        <v>101</v>
      </c>
      <c r="P11" s="685">
        <f t="shared" si="5"/>
        <v>82.51</v>
      </c>
      <c r="Q11" s="691">
        <v>2.0431999999999999E-2</v>
      </c>
      <c r="R11" s="692">
        <v>696</v>
      </c>
      <c r="S11" s="659">
        <v>696</v>
      </c>
      <c r="T11" s="658">
        <v>2.0431999999999999E-2</v>
      </c>
      <c r="U11" s="858">
        <f t="shared" si="2"/>
        <v>776.04</v>
      </c>
      <c r="V11" s="859">
        <f t="shared" si="3"/>
        <v>2.3169887999999996E-2</v>
      </c>
      <c r="W11" s="145"/>
      <c r="X11" s="145"/>
      <c r="Y11" s="256"/>
      <c r="Z11" s="256"/>
      <c r="AA11" s="520">
        <v>5</v>
      </c>
      <c r="AB11" s="520" t="s">
        <v>107</v>
      </c>
      <c r="AC11" s="520" t="s">
        <v>37</v>
      </c>
      <c r="AD11" s="521">
        <v>0.115</v>
      </c>
      <c r="AE11" s="521">
        <v>0.13400000000000001</v>
      </c>
      <c r="AF11" s="521">
        <v>1.4999999999999999E-2</v>
      </c>
      <c r="AG11" s="522">
        <f t="shared" si="4"/>
        <v>1.115</v>
      </c>
      <c r="AH11" s="522">
        <f t="shared" si="0"/>
        <v>1.1339999999999999</v>
      </c>
      <c r="AI11" s="522">
        <f t="shared" si="0"/>
        <v>1.0149999999999999</v>
      </c>
    </row>
    <row r="12" spans="1:35" ht="15" thickBot="1" x14ac:dyDescent="0.4">
      <c r="B12" s="950"/>
      <c r="C12" s="170" t="s">
        <v>108</v>
      </c>
      <c r="D12" s="693">
        <v>6892</v>
      </c>
      <c r="E12" s="415" t="s">
        <v>101</v>
      </c>
      <c r="F12" s="219">
        <v>6892</v>
      </c>
      <c r="G12" s="412" t="s">
        <v>101</v>
      </c>
      <c r="H12" s="690">
        <v>0</v>
      </c>
      <c r="I12" s="279" t="s">
        <v>101</v>
      </c>
      <c r="J12" s="278">
        <f t="shared" si="1"/>
        <v>0</v>
      </c>
      <c r="K12" s="282" t="s">
        <v>101</v>
      </c>
      <c r="L12" s="693">
        <v>1863.9361620800003</v>
      </c>
      <c r="M12" s="219" t="s">
        <v>101</v>
      </c>
      <c r="N12" s="219">
        <v>1863.9361620800003</v>
      </c>
      <c r="O12" s="283" t="s">
        <v>101</v>
      </c>
      <c r="P12" s="685">
        <f t="shared" si="5"/>
        <v>2078.2888207192004</v>
      </c>
      <c r="Q12" s="694">
        <v>0.16900000000000001</v>
      </c>
      <c r="R12" s="819">
        <v>23000</v>
      </c>
      <c r="S12" s="816">
        <v>23000</v>
      </c>
      <c r="T12" s="659">
        <v>0.16900000000000001</v>
      </c>
      <c r="U12" s="858">
        <f t="shared" si="2"/>
        <v>25645</v>
      </c>
      <c r="V12" s="859">
        <f t="shared" si="3"/>
        <v>0.19164599999999998</v>
      </c>
      <c r="W12" s="145"/>
      <c r="X12" s="145"/>
      <c r="AA12" s="520">
        <v>6</v>
      </c>
      <c r="AB12" s="520" t="s">
        <v>109</v>
      </c>
      <c r="AC12" s="520" t="s">
        <v>110</v>
      </c>
      <c r="AD12" s="521">
        <v>0.115</v>
      </c>
      <c r="AE12" s="521">
        <v>0.13400000000000001</v>
      </c>
      <c r="AF12" s="521">
        <v>1.4999999999999999E-2</v>
      </c>
      <c r="AG12" s="522">
        <f t="shared" si="4"/>
        <v>1.115</v>
      </c>
      <c r="AH12" s="522">
        <f t="shared" si="0"/>
        <v>1.1339999999999999</v>
      </c>
      <c r="AI12" s="522">
        <f t="shared" si="0"/>
        <v>1.0149999999999999</v>
      </c>
    </row>
    <row r="13" spans="1:35" ht="15" thickBot="1" x14ac:dyDescent="0.4">
      <c r="B13" s="950"/>
      <c r="C13" s="248" t="s">
        <v>111</v>
      </c>
      <c r="D13" s="697">
        <v>42564</v>
      </c>
      <c r="E13" s="416" t="s">
        <v>101</v>
      </c>
      <c r="F13" s="695">
        <v>42564</v>
      </c>
      <c r="G13" s="417" t="s">
        <v>101</v>
      </c>
      <c r="H13" s="686">
        <f>169.24+25.01</f>
        <v>194.25</v>
      </c>
      <c r="I13" s="279" t="s">
        <v>101</v>
      </c>
      <c r="J13" s="278">
        <f t="shared" si="1"/>
        <v>194.25</v>
      </c>
      <c r="K13" s="282" t="s">
        <v>101</v>
      </c>
      <c r="L13" s="693">
        <v>6363.8158000000476</v>
      </c>
      <c r="M13" s="219" t="s">
        <v>101</v>
      </c>
      <c r="N13" s="696">
        <v>6363.8158000000476</v>
      </c>
      <c r="O13" s="197" t="s">
        <v>101</v>
      </c>
      <c r="P13" s="685">
        <f>L13*$AG$8</f>
        <v>7095.6546170000529</v>
      </c>
      <c r="Q13" s="846">
        <v>0.47699999999999998</v>
      </c>
      <c r="R13" s="818">
        <v>95457</v>
      </c>
      <c r="S13" s="815">
        <v>95457</v>
      </c>
      <c r="T13" s="657">
        <v>0.47699999999999998</v>
      </c>
      <c r="U13" s="858">
        <f t="shared" si="2"/>
        <v>106434.55499999999</v>
      </c>
      <c r="V13" s="859">
        <f t="shared" si="3"/>
        <v>0.5409179999999999</v>
      </c>
      <c r="W13" s="145"/>
      <c r="X13" s="145"/>
      <c r="AA13" s="520">
        <v>7</v>
      </c>
      <c r="AB13" s="520" t="s">
        <v>112</v>
      </c>
      <c r="AC13" s="520" t="s">
        <v>113</v>
      </c>
      <c r="AD13" s="521">
        <v>9.0999999999999998E-2</v>
      </c>
      <c r="AE13" s="521">
        <v>0.113</v>
      </c>
      <c r="AF13" s="521">
        <v>1.4999999999999999E-2</v>
      </c>
      <c r="AG13" s="522">
        <f t="shared" si="4"/>
        <v>1.091</v>
      </c>
      <c r="AH13" s="522">
        <f t="shared" si="0"/>
        <v>1.113</v>
      </c>
      <c r="AI13" s="522">
        <f t="shared" si="0"/>
        <v>1.0149999999999999</v>
      </c>
    </row>
    <row r="14" spans="1:35" ht="15" thickBot="1" x14ac:dyDescent="0.4">
      <c r="B14" s="929"/>
      <c r="C14" s="700" t="s">
        <v>114</v>
      </c>
      <c r="D14" s="292">
        <f>SUM(D8:D13)</f>
        <v>51961</v>
      </c>
      <c r="E14" s="293">
        <v>81204</v>
      </c>
      <c r="F14" s="293">
        <f>SUM(F8:F13)</f>
        <v>51961</v>
      </c>
      <c r="G14" s="294">
        <f t="shared" ref="G14:G17" si="6">F14/E14</f>
        <v>0.63988227180927049</v>
      </c>
      <c r="H14" s="237">
        <f>SUM(H8:H13)</f>
        <v>1074.5999999999999</v>
      </c>
      <c r="I14" s="241">
        <f>5012569/1000</f>
        <v>5012.5690000000004</v>
      </c>
      <c r="J14" s="241">
        <f>SUM(J8:J13)</f>
        <v>1074.5999999999999</v>
      </c>
      <c r="K14" s="699">
        <f>J14/I14</f>
        <v>0.21438108881892695</v>
      </c>
      <c r="L14" s="237">
        <f>SUM(L8:L13)</f>
        <v>9245.1898910800483</v>
      </c>
      <c r="M14" s="739">
        <f>11595373/1000</f>
        <v>11595.373</v>
      </c>
      <c r="N14" s="740">
        <f>SUM(N8:N13)</f>
        <v>9245.1898910800483</v>
      </c>
      <c r="O14" s="741">
        <f>N14/M14</f>
        <v>0.79731716186103274</v>
      </c>
      <c r="P14" s="740">
        <f>SUM(P8:P13)</f>
        <v>10308.386728554253</v>
      </c>
      <c r="Q14" s="742">
        <f>SUM(Q8:Q13)</f>
        <v>0.86743199999999998</v>
      </c>
      <c r="R14" s="820">
        <f>SUM(R8:R13)</f>
        <v>126825</v>
      </c>
      <c r="S14" s="860">
        <f t="shared" ref="S14:T14" si="7">SUM(S8:S13)</f>
        <v>126825</v>
      </c>
      <c r="T14" s="861">
        <f t="shared" si="7"/>
        <v>0.86743199999999998</v>
      </c>
      <c r="U14" s="862">
        <f>SUM(U8:U13)</f>
        <v>141409.875</v>
      </c>
      <c r="V14" s="863">
        <f>SUM(V8:V13)</f>
        <v>0.98366788799999982</v>
      </c>
      <c r="W14" s="145"/>
      <c r="X14" s="145"/>
      <c r="Y14" s="256"/>
      <c r="Z14" s="93"/>
      <c r="AA14" s="520">
        <v>8</v>
      </c>
      <c r="AB14" s="520" t="s">
        <v>112</v>
      </c>
      <c r="AC14" s="520" t="s">
        <v>115</v>
      </c>
      <c r="AD14" s="521">
        <v>6.9000000000000006E-2</v>
      </c>
      <c r="AE14" s="521">
        <v>8.6999999999999994E-2</v>
      </c>
      <c r="AF14" s="521">
        <v>1.4999999999999999E-2</v>
      </c>
      <c r="AG14" s="522">
        <f t="shared" si="4"/>
        <v>1.069</v>
      </c>
      <c r="AH14" s="522">
        <f t="shared" si="0"/>
        <v>1.087</v>
      </c>
      <c r="AI14" s="522">
        <f t="shared" si="0"/>
        <v>1.0149999999999999</v>
      </c>
    </row>
    <row r="15" spans="1:35" ht="15" thickBot="1" x14ac:dyDescent="0.4">
      <c r="B15" s="949" t="s">
        <v>34</v>
      </c>
      <c r="C15" s="157" t="s">
        <v>116</v>
      </c>
      <c r="D15" s="701">
        <v>15</v>
      </c>
      <c r="E15" s="217">
        <v>281</v>
      </c>
      <c r="F15" s="702">
        <v>15</v>
      </c>
      <c r="G15" s="218">
        <f t="shared" si="6"/>
        <v>5.3380782918149468E-2</v>
      </c>
      <c r="H15" s="683">
        <f>321.21+9.04</f>
        <v>330.25</v>
      </c>
      <c r="I15" s="278">
        <f>2943265/1000</f>
        <v>2943.2649999999999</v>
      </c>
      <c r="J15" s="278">
        <f>H15</f>
        <v>330.25</v>
      </c>
      <c r="K15" s="698">
        <f>J15/I15</f>
        <v>0.11220532300013761</v>
      </c>
      <c r="L15" s="745">
        <v>21</v>
      </c>
      <c r="M15" s="219">
        <f>626906/1000</f>
        <v>626.90599999999995</v>
      </c>
      <c r="N15" s="743">
        <v>21</v>
      </c>
      <c r="O15" s="197">
        <f t="shared" ref="O15:O16" si="8">N15/M15</f>
        <v>3.3497844971973473E-2</v>
      </c>
      <c r="P15" s="685">
        <f>L15*$AG$10</f>
        <v>23.414999999999999</v>
      </c>
      <c r="Q15" s="219">
        <v>0</v>
      </c>
      <c r="R15" s="744">
        <v>493.71</v>
      </c>
      <c r="S15" s="738">
        <v>494</v>
      </c>
      <c r="T15" s="864">
        <v>0</v>
      </c>
      <c r="U15" s="858">
        <f>R15*$AG$10</f>
        <v>550.48664999999994</v>
      </c>
      <c r="V15" s="859">
        <f>T15*$AH$10</f>
        <v>0</v>
      </c>
      <c r="W15" s="145"/>
      <c r="X15" s="145"/>
      <c r="AA15" s="520">
        <v>9</v>
      </c>
      <c r="AB15" s="520" t="s">
        <v>112</v>
      </c>
      <c r="AC15" s="520" t="s">
        <v>117</v>
      </c>
      <c r="AD15" s="521">
        <v>9.9000000000000005E-2</v>
      </c>
      <c r="AE15" s="521">
        <v>0.121</v>
      </c>
      <c r="AF15" s="521">
        <v>1.4999999999999999E-2</v>
      </c>
      <c r="AG15" s="522">
        <f t="shared" si="4"/>
        <v>1.099</v>
      </c>
      <c r="AH15" s="522">
        <f t="shared" si="0"/>
        <v>1.121</v>
      </c>
      <c r="AI15" s="522">
        <f t="shared" si="0"/>
        <v>1.0149999999999999</v>
      </c>
    </row>
    <row r="16" spans="1:35" ht="17" thickBot="1" x14ac:dyDescent="0.4">
      <c r="B16" s="950"/>
      <c r="C16" s="249" t="s">
        <v>118</v>
      </c>
      <c r="D16" s="703" t="s">
        <v>119</v>
      </c>
      <c r="E16" s="219">
        <v>6500</v>
      </c>
      <c r="F16" s="704">
        <v>0</v>
      </c>
      <c r="G16" s="220">
        <f t="shared" si="6"/>
        <v>0</v>
      </c>
      <c r="H16" s="686">
        <f>390.87+7.54</f>
        <v>398.41</v>
      </c>
      <c r="I16" s="279">
        <f>3681070/1000</f>
        <v>3681.07</v>
      </c>
      <c r="J16" s="278">
        <f>H16</f>
        <v>398.41</v>
      </c>
      <c r="K16" s="418">
        <f t="shared" ref="K16:K19" si="9">J16/I16</f>
        <v>0.10823211729198304</v>
      </c>
      <c r="L16" s="704">
        <v>0</v>
      </c>
      <c r="M16" s="219">
        <f>6835106/1000</f>
        <v>6835.1059999999998</v>
      </c>
      <c r="N16" s="219">
        <v>0</v>
      </c>
      <c r="O16" s="283">
        <f t="shared" si="8"/>
        <v>0</v>
      </c>
      <c r="P16" s="685">
        <f>L16*$AG$9</f>
        <v>0</v>
      </c>
      <c r="Q16" s="219">
        <v>0</v>
      </c>
      <c r="R16" s="219">
        <v>0</v>
      </c>
      <c r="S16" s="865">
        <v>0</v>
      </c>
      <c r="T16" s="864">
        <v>0</v>
      </c>
      <c r="U16" s="858">
        <f>R16*$AG$9</f>
        <v>0</v>
      </c>
      <c r="V16" s="859">
        <f>T16*$AH$9</f>
        <v>0</v>
      </c>
      <c r="W16" s="251"/>
      <c r="X16" s="145"/>
      <c r="AA16" s="520">
        <v>10</v>
      </c>
      <c r="AB16" s="520" t="s">
        <v>112</v>
      </c>
      <c r="AC16" s="520" t="s">
        <v>120</v>
      </c>
      <c r="AD16" s="521">
        <v>7.6999999999999999E-2</v>
      </c>
      <c r="AE16" s="521">
        <v>9.1999999999999998E-2</v>
      </c>
      <c r="AF16" s="521">
        <v>1.4999999999999999E-2</v>
      </c>
      <c r="AG16" s="522">
        <f t="shared" si="4"/>
        <v>1.077</v>
      </c>
      <c r="AH16" s="522">
        <f t="shared" si="0"/>
        <v>1.0920000000000001</v>
      </c>
      <c r="AI16" s="522">
        <f t="shared" si="0"/>
        <v>1.0149999999999999</v>
      </c>
    </row>
    <row r="17" spans="2:39" ht="15" thickBot="1" x14ac:dyDescent="0.4">
      <c r="B17" s="950"/>
      <c r="C17" s="526" t="s">
        <v>37</v>
      </c>
      <c r="D17" s="705" t="s">
        <v>119</v>
      </c>
      <c r="E17" s="706">
        <v>450</v>
      </c>
      <c r="F17" s="704">
        <v>0</v>
      </c>
      <c r="G17" s="707">
        <f t="shared" si="6"/>
        <v>0</v>
      </c>
      <c r="H17" s="708">
        <f>193.15+60.78</f>
        <v>253.93</v>
      </c>
      <c r="I17" s="746">
        <f>4214836/1000</f>
        <v>4214.8360000000002</v>
      </c>
      <c r="J17" s="278">
        <f>H17</f>
        <v>253.93</v>
      </c>
      <c r="K17" s="419">
        <f t="shared" si="9"/>
        <v>6.0246709480511224E-2</v>
      </c>
      <c r="L17" s="704">
        <v>0</v>
      </c>
      <c r="M17" s="219">
        <f>824199/1000</f>
        <v>824.19899999999996</v>
      </c>
      <c r="N17" s="219">
        <v>0</v>
      </c>
      <c r="O17" s="197">
        <v>0</v>
      </c>
      <c r="P17" s="685">
        <f>L17*$AG$11</f>
        <v>0</v>
      </c>
      <c r="Q17" s="219">
        <v>0</v>
      </c>
      <c r="R17" s="219">
        <v>0</v>
      </c>
      <c r="S17" s="865">
        <v>0</v>
      </c>
      <c r="T17" s="864">
        <v>0</v>
      </c>
      <c r="U17" s="866">
        <f>R17*$AG$11</f>
        <v>0</v>
      </c>
      <c r="V17" s="867">
        <f>T17*$AH$11</f>
        <v>0</v>
      </c>
      <c r="W17" s="252"/>
      <c r="X17" s="145"/>
      <c r="AA17" s="520">
        <v>11</v>
      </c>
      <c r="AB17" s="520" t="s">
        <v>121</v>
      </c>
      <c r="AC17" s="520" t="s">
        <v>122</v>
      </c>
      <c r="AD17" s="521">
        <v>0.115</v>
      </c>
      <c r="AE17" s="521">
        <v>0.13400000000000001</v>
      </c>
      <c r="AF17" s="521">
        <v>1.4999999999999999E-2</v>
      </c>
      <c r="AG17" s="522">
        <f t="shared" si="4"/>
        <v>1.115</v>
      </c>
      <c r="AH17" s="522">
        <f t="shared" si="0"/>
        <v>1.1339999999999999</v>
      </c>
      <c r="AI17" s="522">
        <f t="shared" si="0"/>
        <v>1.0149999999999999</v>
      </c>
    </row>
    <row r="18" spans="2:39" ht="17" thickBot="1" x14ac:dyDescent="0.4">
      <c r="B18" s="144" t="s">
        <v>38</v>
      </c>
      <c r="C18" s="250" t="s">
        <v>123</v>
      </c>
      <c r="D18" s="709">
        <v>235719</v>
      </c>
      <c r="E18" s="710">
        <v>0</v>
      </c>
      <c r="F18" s="710">
        <f>D18</f>
        <v>235719</v>
      </c>
      <c r="G18" s="420" t="s">
        <v>101</v>
      </c>
      <c r="H18" s="711">
        <v>0</v>
      </c>
      <c r="I18" s="715">
        <v>0</v>
      </c>
      <c r="J18" s="715">
        <v>0</v>
      </c>
      <c r="K18" s="421">
        <v>0</v>
      </c>
      <c r="L18" s="747">
        <v>2895</v>
      </c>
      <c r="M18" s="219">
        <v>0</v>
      </c>
      <c r="N18" s="219">
        <v>2895</v>
      </c>
      <c r="O18" s="197" t="s">
        <v>101</v>
      </c>
      <c r="P18" s="685">
        <f>N18*$AG$7</f>
        <v>3227.9250000000002</v>
      </c>
      <c r="Q18" s="736">
        <v>2.2930000000000001</v>
      </c>
      <c r="R18" s="696">
        <f>L18</f>
        <v>2895</v>
      </c>
      <c r="S18" s="865">
        <f>N18</f>
        <v>2895</v>
      </c>
      <c r="T18" s="868">
        <v>2.2930000000000001</v>
      </c>
      <c r="U18" s="869">
        <f>R18*$AG$7</f>
        <v>3227.9250000000002</v>
      </c>
      <c r="V18" s="870">
        <f>T18*$AH$7</f>
        <v>2.6002619999999999</v>
      </c>
      <c r="W18" s="252"/>
      <c r="X18" s="145"/>
    </row>
    <row r="19" spans="2:39" ht="15" thickBot="1" x14ac:dyDescent="0.4">
      <c r="B19" s="160" t="s">
        <v>40</v>
      </c>
      <c r="C19" s="162"/>
      <c r="D19" s="203">
        <f>SUM(D14:D18)</f>
        <v>287695</v>
      </c>
      <c r="E19" s="204">
        <f>SUM(E14:E18)</f>
        <v>88435</v>
      </c>
      <c r="F19" s="204">
        <f>SUM(F14:F18)</f>
        <v>287695</v>
      </c>
      <c r="G19" s="184">
        <f>F19/E19</f>
        <v>3.2531803019166619</v>
      </c>
      <c r="H19" s="234">
        <f>SUM(H14:H18)</f>
        <v>2057.19</v>
      </c>
      <c r="I19" s="235">
        <f>SUM(I14:I18)</f>
        <v>15851.740000000002</v>
      </c>
      <c r="J19" s="235">
        <f>SUM(J14:J18)</f>
        <v>2057.19</v>
      </c>
      <c r="K19" s="189">
        <f t="shared" si="9"/>
        <v>0.1297769203885504</v>
      </c>
      <c r="L19" s="231">
        <f>SUM(L14:L18)</f>
        <v>12161.189891080048</v>
      </c>
      <c r="M19" s="871">
        <f>SUM(M14:M18)</f>
        <v>19881.583999999999</v>
      </c>
      <c r="N19" s="231">
        <f>SUM(N14:N18)</f>
        <v>12161.189891080048</v>
      </c>
      <c r="O19" s="198">
        <f>N19/M19</f>
        <v>0.61168113622536557</v>
      </c>
      <c r="P19" s="527">
        <f>SUM(P14:P18)</f>
        <v>13559.726728554255</v>
      </c>
      <c r="Q19" s="266">
        <f t="shared" ref="Q19" si="10">SUM(Q14:Q18)</f>
        <v>3.1604320000000001</v>
      </c>
      <c r="R19" s="227">
        <f>SUM(R14:R18)</f>
        <v>130213.71</v>
      </c>
      <c r="S19" s="872">
        <f t="shared" ref="S19" si="11">SUM(S14:S18)</f>
        <v>130214</v>
      </c>
      <c r="T19" s="873">
        <f>SUM(T14:T18)</f>
        <v>3.1604320000000001</v>
      </c>
      <c r="U19" s="874">
        <f>SUM(U14:U18)</f>
        <v>145188.28664999999</v>
      </c>
      <c r="V19" s="875">
        <f>SUM(V14:V18)</f>
        <v>3.5839298879999997</v>
      </c>
      <c r="W19" s="148"/>
      <c r="X19" s="148"/>
    </row>
    <row r="20" spans="2:39" ht="15" thickBot="1" x14ac:dyDescent="0.4">
      <c r="B20" s="129"/>
      <c r="C20" s="164"/>
      <c r="D20" s="205"/>
      <c r="E20" s="206"/>
      <c r="F20" s="206"/>
      <c r="G20" s="185"/>
      <c r="H20" s="175"/>
      <c r="I20" s="176"/>
      <c r="J20" s="176"/>
      <c r="K20" s="194"/>
      <c r="L20" s="205"/>
      <c r="M20" s="206"/>
      <c r="N20" s="232"/>
      <c r="O20" s="199"/>
      <c r="P20" s="525"/>
      <c r="Q20" s="267"/>
      <c r="R20" s="821"/>
      <c r="S20" s="876"/>
      <c r="T20" s="877"/>
      <c r="U20" s="878"/>
      <c r="V20" s="879"/>
      <c r="W20" s="151"/>
      <c r="X20" s="151"/>
    </row>
    <row r="21" spans="2:39" ht="15" thickBot="1" x14ac:dyDescent="0.4">
      <c r="B21" s="163" t="s">
        <v>41</v>
      </c>
      <c r="C21" s="161" t="s">
        <v>124</v>
      </c>
      <c r="D21" s="207"/>
      <c r="E21" s="208"/>
      <c r="F21" s="208"/>
      <c r="G21" s="186"/>
      <c r="H21" s="178"/>
      <c r="I21" s="179"/>
      <c r="J21" s="179"/>
      <c r="K21" s="186"/>
      <c r="L21" s="207"/>
      <c r="M21" s="208"/>
      <c r="N21" s="233"/>
      <c r="O21" s="200"/>
      <c r="P21" s="208"/>
      <c r="Q21" s="268"/>
      <c r="R21" s="822"/>
      <c r="S21" s="880"/>
      <c r="T21" s="881"/>
      <c r="U21" s="881"/>
      <c r="V21" s="882"/>
      <c r="W21" s="148"/>
      <c r="X21" s="148"/>
    </row>
    <row r="22" spans="2:39" ht="15" thickBot="1" x14ac:dyDescent="0.4">
      <c r="B22" s="158" t="s">
        <v>42</v>
      </c>
      <c r="C22" s="158" t="s">
        <v>125</v>
      </c>
      <c r="D22" s="709">
        <v>0</v>
      </c>
      <c r="E22" s="710">
        <v>180</v>
      </c>
      <c r="F22" s="710">
        <v>0</v>
      </c>
      <c r="G22" s="236">
        <f t="shared" ref="G22:G26" si="12">F22/E22</f>
        <v>0</v>
      </c>
      <c r="H22" s="714">
        <f>544.47+18.51</f>
        <v>562.98</v>
      </c>
      <c r="I22" s="715">
        <f>12369521/1000</f>
        <v>12369.521000000001</v>
      </c>
      <c r="J22" s="715">
        <f>H22</f>
        <v>562.98</v>
      </c>
      <c r="K22" s="420">
        <f t="shared" ref="K22:K26" si="13">J22/I22</f>
        <v>4.5513484313580127E-2</v>
      </c>
      <c r="L22" s="709">
        <v>0</v>
      </c>
      <c r="M22" s="710">
        <f>8363365/1000</f>
        <v>8363.3649999999998</v>
      </c>
      <c r="N22" s="716">
        <v>0</v>
      </c>
      <c r="O22" s="717">
        <f>N22/M22</f>
        <v>0</v>
      </c>
      <c r="P22" s="718">
        <f>L22*$AG$15</f>
        <v>0</v>
      </c>
      <c r="Q22" s="719">
        <v>0</v>
      </c>
      <c r="R22" s="716">
        <v>0</v>
      </c>
      <c r="S22" s="883">
        <v>0</v>
      </c>
      <c r="T22" s="884">
        <v>0</v>
      </c>
      <c r="U22" s="885">
        <f>R22*$AG$15</f>
        <v>0</v>
      </c>
      <c r="V22" s="886">
        <f>T22*$AH$15</f>
        <v>0</v>
      </c>
      <c r="W22" s="145"/>
      <c r="X22" s="145"/>
    </row>
    <row r="23" spans="2:39" ht="17" thickBot="1" x14ac:dyDescent="0.4">
      <c r="B23" s="946" t="s">
        <v>44</v>
      </c>
      <c r="C23" s="255" t="s">
        <v>126</v>
      </c>
      <c r="D23" s="687">
        <v>71</v>
      </c>
      <c r="E23" s="280">
        <v>126542</v>
      </c>
      <c r="F23" s="280">
        <v>71</v>
      </c>
      <c r="G23" s="246">
        <f t="shared" si="12"/>
        <v>5.610785351898974E-4</v>
      </c>
      <c r="H23" s="720">
        <f>1045.64+9.16</f>
        <v>1054.8000000000002</v>
      </c>
      <c r="I23" s="721">
        <f>4062402/1000</f>
        <v>4062.402</v>
      </c>
      <c r="J23" s="715">
        <f>H23</f>
        <v>1054.8000000000002</v>
      </c>
      <c r="K23" s="424">
        <f t="shared" si="13"/>
        <v>0.25964934046408999</v>
      </c>
      <c r="L23" s="687">
        <v>3537</v>
      </c>
      <c r="M23" s="280">
        <f>27604255/1000</f>
        <v>27604.255000000001</v>
      </c>
      <c r="N23" s="722">
        <v>3537</v>
      </c>
      <c r="O23" s="723">
        <f t="shared" ref="O23:O25" si="14">N23/M23</f>
        <v>0.1281324201649347</v>
      </c>
      <c r="P23" s="724">
        <f>L23*$AG$13</f>
        <v>3858.8669999999997</v>
      </c>
      <c r="Q23" s="725">
        <v>0.61599999999999999</v>
      </c>
      <c r="R23" s="722">
        <v>52235</v>
      </c>
      <c r="S23" s="887">
        <v>52235</v>
      </c>
      <c r="T23" s="888">
        <v>0.61599999999999999</v>
      </c>
      <c r="U23" s="889">
        <f>R23*$AG$13</f>
        <v>56988.385000000002</v>
      </c>
      <c r="V23" s="890">
        <f>T23*$AH$13</f>
        <v>0.685608</v>
      </c>
      <c r="W23" s="145"/>
      <c r="X23" s="145"/>
    </row>
    <row r="24" spans="2:39" ht="15" thickBot="1" x14ac:dyDescent="0.4">
      <c r="B24" s="947"/>
      <c r="C24" s="167" t="s">
        <v>46</v>
      </c>
      <c r="D24" s="693">
        <v>0</v>
      </c>
      <c r="E24" s="219">
        <v>25</v>
      </c>
      <c r="F24" s="219">
        <v>0</v>
      </c>
      <c r="G24" s="187">
        <f t="shared" si="12"/>
        <v>0</v>
      </c>
      <c r="H24" s="726">
        <f>131.28+3.24</f>
        <v>134.52000000000001</v>
      </c>
      <c r="I24" s="279">
        <f>279647/1000</f>
        <v>279.64699999999999</v>
      </c>
      <c r="J24" s="715">
        <f>H24</f>
        <v>134.52000000000001</v>
      </c>
      <c r="K24" s="220">
        <f t="shared" si="13"/>
        <v>0.48103501914914165</v>
      </c>
      <c r="L24" s="693">
        <v>0</v>
      </c>
      <c r="M24" s="219">
        <f>800526/1000</f>
        <v>800.52599999999995</v>
      </c>
      <c r="N24" s="727">
        <v>0</v>
      </c>
      <c r="O24" s="728">
        <f t="shared" si="14"/>
        <v>0</v>
      </c>
      <c r="P24" s="729">
        <f>L24*$AG$16</f>
        <v>0</v>
      </c>
      <c r="Q24" s="730">
        <v>0</v>
      </c>
      <c r="R24" s="727">
        <v>0</v>
      </c>
      <c r="S24" s="891">
        <v>0</v>
      </c>
      <c r="T24" s="892">
        <v>0</v>
      </c>
      <c r="U24" s="893">
        <f>R24*$AG$16</f>
        <v>0</v>
      </c>
      <c r="V24" s="894">
        <f>T24*$AH$16</f>
        <v>0</v>
      </c>
      <c r="W24" s="145"/>
      <c r="X24" s="145"/>
    </row>
    <row r="25" spans="2:39" ht="15" thickBot="1" x14ac:dyDescent="0.4">
      <c r="B25" s="948"/>
      <c r="C25" s="169" t="s">
        <v>47</v>
      </c>
      <c r="D25" s="697">
        <v>0</v>
      </c>
      <c r="E25" s="695">
        <v>1</v>
      </c>
      <c r="F25" s="695">
        <v>0</v>
      </c>
      <c r="G25" s="188" t="s">
        <v>101</v>
      </c>
      <c r="H25" s="731">
        <f>125.75+56.83</f>
        <v>182.57999999999998</v>
      </c>
      <c r="I25" s="732">
        <f>1146197/1000</f>
        <v>1146.1969999999999</v>
      </c>
      <c r="J25" s="715">
        <f>H25</f>
        <v>182.57999999999998</v>
      </c>
      <c r="K25" s="425">
        <f t="shared" si="13"/>
        <v>0.15929198907343153</v>
      </c>
      <c r="L25" s="697">
        <v>0</v>
      </c>
      <c r="M25" s="695">
        <f>607879/1000</f>
        <v>607.87900000000002</v>
      </c>
      <c r="N25" s="733">
        <v>0</v>
      </c>
      <c r="O25" s="734">
        <f t="shared" si="14"/>
        <v>0</v>
      </c>
      <c r="P25" s="729">
        <f>L25*$AG$14</f>
        <v>0</v>
      </c>
      <c r="Q25" s="735">
        <v>0</v>
      </c>
      <c r="R25" s="733">
        <v>0</v>
      </c>
      <c r="S25" s="895">
        <v>0</v>
      </c>
      <c r="T25" s="896">
        <v>0</v>
      </c>
      <c r="U25" s="893">
        <f>R25*$AG$14</f>
        <v>0</v>
      </c>
      <c r="V25" s="894">
        <f>T25*$AH$14</f>
        <v>0</v>
      </c>
      <c r="W25" s="145"/>
      <c r="X25" s="145"/>
    </row>
    <row r="26" spans="2:39" s="93" customFormat="1" ht="15" thickBot="1" x14ac:dyDescent="0.4">
      <c r="B26" s="223" t="s">
        <v>48</v>
      </c>
      <c r="C26" s="223"/>
      <c r="D26" s="227">
        <f>SUM(D22:D25)</f>
        <v>71</v>
      </c>
      <c r="E26" s="227">
        <f>SUM(E22:E25)</f>
        <v>126748</v>
      </c>
      <c r="F26" s="227">
        <f>SUM(F22:F25)</f>
        <v>71</v>
      </c>
      <c r="G26" s="189">
        <f t="shared" si="12"/>
        <v>5.6016662984820274E-4</v>
      </c>
      <c r="H26" s="174">
        <f>SUM(H22:H25)</f>
        <v>1934.88</v>
      </c>
      <c r="I26" s="235">
        <f>SUM(I22:I25)</f>
        <v>17857.767000000003</v>
      </c>
      <c r="J26" s="174">
        <f>SUM(J22:J25)</f>
        <v>1934.88</v>
      </c>
      <c r="K26" s="189">
        <f t="shared" si="13"/>
        <v>0.10834949296852175</v>
      </c>
      <c r="L26" s="209">
        <f>SUM(L22:L25)</f>
        <v>3537</v>
      </c>
      <c r="M26" s="204">
        <f t="shared" ref="M26:N26" si="15">SUM(M22:M25)</f>
        <v>37376.025000000001</v>
      </c>
      <c r="N26" s="204">
        <f t="shared" si="15"/>
        <v>3537</v>
      </c>
      <c r="O26" s="198">
        <f>N26/M26</f>
        <v>9.4632856222672146E-2</v>
      </c>
      <c r="P26" s="524">
        <f t="shared" ref="P26" si="16">SUM(P22:P25)</f>
        <v>3858.8669999999997</v>
      </c>
      <c r="Q26" s="266">
        <f t="shared" ref="Q26:R26" si="17">SUM(Q22:Q25)</f>
        <v>0.61599999999999999</v>
      </c>
      <c r="R26" s="227">
        <f t="shared" si="17"/>
        <v>52235</v>
      </c>
      <c r="S26" s="897">
        <f t="shared" ref="S26:V26" si="18">SUM(S22:S25)</f>
        <v>52235</v>
      </c>
      <c r="T26" s="898">
        <f t="shared" si="18"/>
        <v>0.61599999999999999</v>
      </c>
      <c r="U26" s="863">
        <f t="shared" si="18"/>
        <v>56988.385000000002</v>
      </c>
      <c r="V26" s="863">
        <f t="shared" si="18"/>
        <v>0.685608</v>
      </c>
      <c r="W26" s="148"/>
      <c r="X26" s="148"/>
      <c r="Y26"/>
      <c r="Z26"/>
      <c r="AA26"/>
      <c r="AB26"/>
      <c r="AC26"/>
      <c r="AD26"/>
      <c r="AE26"/>
      <c r="AF26"/>
      <c r="AG26"/>
      <c r="AH26"/>
      <c r="AI26"/>
      <c r="AJ26"/>
      <c r="AK26"/>
      <c r="AL26"/>
      <c r="AM26"/>
    </row>
    <row r="27" spans="2:39" ht="15" thickBot="1" x14ac:dyDescent="0.4">
      <c r="B27" s="165"/>
      <c r="C27" s="164"/>
      <c r="D27" s="210"/>
      <c r="E27" s="211"/>
      <c r="F27" s="211"/>
      <c r="G27" s="190"/>
      <c r="H27" s="180"/>
      <c r="I27" s="181"/>
      <c r="J27" s="181"/>
      <c r="K27" s="190"/>
      <c r="L27" s="210"/>
      <c r="M27" s="211"/>
      <c r="N27" s="211"/>
      <c r="O27" s="201"/>
      <c r="P27" s="525"/>
      <c r="Q27" s="269"/>
      <c r="R27" s="211"/>
      <c r="S27" s="899"/>
      <c r="T27" s="900"/>
      <c r="U27" s="878"/>
      <c r="V27" s="879"/>
      <c r="W27" s="151"/>
      <c r="X27" s="151"/>
    </row>
    <row r="28" spans="2:39" x14ac:dyDescent="0.35">
      <c r="B28" s="944" t="s">
        <v>127</v>
      </c>
      <c r="C28" s="157" t="s">
        <v>128</v>
      </c>
      <c r="D28" s="712">
        <v>0</v>
      </c>
      <c r="E28" s="217" t="s">
        <v>101</v>
      </c>
      <c r="F28" s="217">
        <v>0</v>
      </c>
      <c r="G28" s="218" t="s">
        <v>101</v>
      </c>
      <c r="H28" s="653">
        <v>0</v>
      </c>
      <c r="I28" s="422" t="s">
        <v>101</v>
      </c>
      <c r="J28" s="655">
        <v>0</v>
      </c>
      <c r="K28" s="218" t="s">
        <v>101</v>
      </c>
      <c r="L28" s="684">
        <v>0</v>
      </c>
      <c r="M28" s="217" t="s">
        <v>101</v>
      </c>
      <c r="N28" s="230">
        <v>0</v>
      </c>
      <c r="O28" s="196" t="s">
        <v>101</v>
      </c>
      <c r="P28" s="696">
        <f>L28*$AG$12</f>
        <v>0</v>
      </c>
      <c r="Q28" s="264">
        <v>0</v>
      </c>
      <c r="R28" s="230">
        <v>0</v>
      </c>
      <c r="S28" s="901">
        <v>0</v>
      </c>
      <c r="T28" s="902">
        <v>0</v>
      </c>
      <c r="U28" s="903">
        <f>R28*$AG$12</f>
        <v>0</v>
      </c>
      <c r="V28" s="904">
        <f>T28*$AH$12</f>
        <v>0</v>
      </c>
      <c r="W28" s="151"/>
      <c r="X28" s="151"/>
    </row>
    <row r="29" spans="2:39" x14ac:dyDescent="0.35">
      <c r="B29" s="945"/>
      <c r="C29" s="928" t="s">
        <v>43</v>
      </c>
      <c r="D29" s="713">
        <v>0</v>
      </c>
      <c r="E29" s="219" t="s">
        <v>101</v>
      </c>
      <c r="F29" s="219">
        <v>0</v>
      </c>
      <c r="G29" s="220" t="s">
        <v>101</v>
      </c>
      <c r="H29" s="654">
        <v>0</v>
      </c>
      <c r="I29" s="423" t="s">
        <v>101</v>
      </c>
      <c r="J29" s="423">
        <v>0</v>
      </c>
      <c r="K29" s="220" t="s">
        <v>101</v>
      </c>
      <c r="L29" s="693">
        <v>0</v>
      </c>
      <c r="M29" s="219" t="s">
        <v>101</v>
      </c>
      <c r="N29" s="696">
        <v>0</v>
      </c>
      <c r="O29" s="197" t="s">
        <v>101</v>
      </c>
      <c r="P29" s="696">
        <f t="shared" ref="P29:P31" si="19">L29*$AG$12</f>
        <v>0</v>
      </c>
      <c r="Q29" s="736">
        <v>0</v>
      </c>
      <c r="R29" s="696">
        <v>0</v>
      </c>
      <c r="S29" s="905">
        <v>0</v>
      </c>
      <c r="T29" s="903">
        <v>0</v>
      </c>
      <c r="U29" s="903">
        <f>R29*$AG$12</f>
        <v>0</v>
      </c>
      <c r="V29" s="904">
        <f>T29*$AH$12</f>
        <v>0</v>
      </c>
      <c r="W29" s="151"/>
      <c r="X29" s="151"/>
    </row>
    <row r="30" spans="2:39" x14ac:dyDescent="0.35">
      <c r="B30" s="945"/>
      <c r="C30" s="928" t="s">
        <v>129</v>
      </c>
      <c r="D30" s="713">
        <v>0</v>
      </c>
      <c r="E30" s="219" t="s">
        <v>101</v>
      </c>
      <c r="F30" s="219">
        <v>0</v>
      </c>
      <c r="G30" s="220" t="s">
        <v>101</v>
      </c>
      <c r="H30" s="654">
        <v>0</v>
      </c>
      <c r="I30" s="423" t="s">
        <v>101</v>
      </c>
      <c r="J30" s="423">
        <v>0</v>
      </c>
      <c r="K30" s="220" t="s">
        <v>101</v>
      </c>
      <c r="L30" s="693">
        <v>0</v>
      </c>
      <c r="M30" s="219" t="s">
        <v>101</v>
      </c>
      <c r="N30" s="696">
        <v>0</v>
      </c>
      <c r="O30" s="197" t="s">
        <v>101</v>
      </c>
      <c r="P30" s="696">
        <f t="shared" si="19"/>
        <v>0</v>
      </c>
      <c r="Q30" s="736">
        <v>0</v>
      </c>
      <c r="R30" s="696">
        <v>0</v>
      </c>
      <c r="S30" s="905">
        <v>0</v>
      </c>
      <c r="T30" s="903">
        <v>0</v>
      </c>
      <c r="U30" s="903">
        <f>R30*$AG$12</f>
        <v>0</v>
      </c>
      <c r="V30" s="904">
        <f>T30*$AH$12</f>
        <v>0</v>
      </c>
      <c r="W30" s="151"/>
      <c r="X30" s="151"/>
    </row>
    <row r="31" spans="2:39" x14ac:dyDescent="0.35">
      <c r="B31" s="945"/>
      <c r="C31" s="928" t="s">
        <v>47</v>
      </c>
      <c r="D31" s="713">
        <v>0</v>
      </c>
      <c r="E31" s="219" t="s">
        <v>101</v>
      </c>
      <c r="F31" s="219">
        <v>0</v>
      </c>
      <c r="G31" s="220" t="s">
        <v>101</v>
      </c>
      <c r="H31" s="654">
        <v>0</v>
      </c>
      <c r="I31" s="423" t="s">
        <v>101</v>
      </c>
      <c r="J31" s="423">
        <v>0</v>
      </c>
      <c r="K31" s="220" t="s">
        <v>101</v>
      </c>
      <c r="L31" s="693">
        <v>0</v>
      </c>
      <c r="M31" s="219" t="s">
        <v>101</v>
      </c>
      <c r="N31" s="696">
        <v>0</v>
      </c>
      <c r="O31" s="197" t="s">
        <v>101</v>
      </c>
      <c r="P31" s="696">
        <f t="shared" si="19"/>
        <v>0</v>
      </c>
      <c r="Q31" s="736">
        <v>0</v>
      </c>
      <c r="R31" s="696">
        <v>0</v>
      </c>
      <c r="S31" s="905">
        <v>0</v>
      </c>
      <c r="T31" s="903">
        <v>0</v>
      </c>
      <c r="U31" s="903">
        <f>R31*$AG$12</f>
        <v>0</v>
      </c>
      <c r="V31" s="904">
        <f>T31*$AH$12</f>
        <v>0</v>
      </c>
      <c r="W31" s="151"/>
      <c r="X31" s="151"/>
    </row>
    <row r="32" spans="2:39" ht="15" thickBot="1" x14ac:dyDescent="0.4">
      <c r="B32" s="221"/>
      <c r="C32" s="244" t="s">
        <v>130</v>
      </c>
      <c r="D32" s="237">
        <f>SUM(D28:D31)</f>
        <v>0</v>
      </c>
      <c r="E32" s="238">
        <v>2088</v>
      </c>
      <c r="F32" s="238">
        <f>SUM(F28:F31)</f>
        <v>0</v>
      </c>
      <c r="G32" s="239">
        <f t="shared" ref="G32" si="20">F32/E32</f>
        <v>0</v>
      </c>
      <c r="H32" s="240">
        <f>155.27+9.69</f>
        <v>164.96</v>
      </c>
      <c r="I32" s="272">
        <f>1364884/1000</f>
        <v>1364.884</v>
      </c>
      <c r="J32" s="272">
        <f>H32</f>
        <v>164.96</v>
      </c>
      <c r="K32" s="242">
        <f>J32/I32</f>
        <v>0.12086008774372035</v>
      </c>
      <c r="L32" s="237">
        <f>SUM(L28:L31)</f>
        <v>0</v>
      </c>
      <c r="M32" s="238">
        <f>2298119/1000</f>
        <v>2298.1190000000001</v>
      </c>
      <c r="N32" s="243">
        <f>SUM(N28:N31)</f>
        <v>0</v>
      </c>
      <c r="O32" s="737">
        <f>N32/M32</f>
        <v>0</v>
      </c>
      <c r="P32" s="245">
        <f t="shared" ref="P32:R32" si="21">SUM(P28:P31)</f>
        <v>0</v>
      </c>
      <c r="Q32" s="265">
        <f t="shared" si="21"/>
        <v>0</v>
      </c>
      <c r="R32" s="245">
        <f t="shared" si="21"/>
        <v>0</v>
      </c>
      <c r="S32" s="860">
        <f t="shared" ref="S32:U32" si="22">SUM(S28:S31)</f>
        <v>0</v>
      </c>
      <c r="T32" s="906">
        <f t="shared" si="22"/>
        <v>0</v>
      </c>
      <c r="U32" s="906">
        <f t="shared" si="22"/>
        <v>0</v>
      </c>
      <c r="V32" s="906">
        <f>SUM(V28:V31)</f>
        <v>0</v>
      </c>
      <c r="W32" s="151"/>
      <c r="X32" s="151"/>
    </row>
    <row r="33" spans="2:39" ht="15" thickBot="1" x14ac:dyDescent="0.4">
      <c r="B33" s="165"/>
      <c r="C33" s="164"/>
      <c r="D33" s="210"/>
      <c r="E33" s="211"/>
      <c r="F33" s="211"/>
      <c r="G33" s="190"/>
      <c r="H33" s="275"/>
      <c r="I33" s="276"/>
      <c r="J33" s="276"/>
      <c r="K33" s="277"/>
      <c r="L33" s="210"/>
      <c r="M33" s="211"/>
      <c r="N33" s="211"/>
      <c r="O33" s="201"/>
      <c r="P33" s="211"/>
      <c r="Q33" s="269"/>
      <c r="R33" s="211"/>
      <c r="S33" s="899"/>
      <c r="T33" s="900"/>
      <c r="U33" s="900"/>
      <c r="V33" s="907"/>
      <c r="W33" s="148"/>
      <c r="X33" s="148"/>
    </row>
    <row r="34" spans="2:39" ht="15" thickBot="1" x14ac:dyDescent="0.4">
      <c r="B34" s="223" t="s">
        <v>50</v>
      </c>
      <c r="C34" s="223"/>
      <c r="D34" s="224"/>
      <c r="E34" s="225"/>
      <c r="F34" s="225"/>
      <c r="G34" s="226"/>
      <c r="H34" s="273"/>
      <c r="I34" s="174"/>
      <c r="J34" s="174"/>
      <c r="K34" s="274"/>
      <c r="L34" s="284"/>
      <c r="M34" s="263"/>
      <c r="N34" s="285"/>
      <c r="O34" s="195"/>
      <c r="P34" s="285"/>
      <c r="Q34" s="271"/>
      <c r="R34" s="823"/>
      <c r="S34" s="908"/>
      <c r="T34" s="909"/>
      <c r="U34" s="909"/>
      <c r="V34" s="910"/>
      <c r="W34" s="145"/>
      <c r="X34" s="145"/>
    </row>
    <row r="35" spans="2:39" x14ac:dyDescent="0.35">
      <c r="B35" s="222" t="s">
        <v>51</v>
      </c>
      <c r="C35" s="298"/>
      <c r="D35" s="290" t="s">
        <v>101</v>
      </c>
      <c r="E35" s="291" t="s">
        <v>101</v>
      </c>
      <c r="F35" s="291" t="s">
        <v>101</v>
      </c>
      <c r="G35" s="300" t="s">
        <v>101</v>
      </c>
      <c r="H35" s="295" t="s">
        <v>101</v>
      </c>
      <c r="I35" s="296" t="s">
        <v>101</v>
      </c>
      <c r="J35" s="296" t="s">
        <v>101</v>
      </c>
      <c r="K35" s="297" t="s">
        <v>101</v>
      </c>
      <c r="L35" s="290" t="s">
        <v>101</v>
      </c>
      <c r="M35" s="291" t="s">
        <v>101</v>
      </c>
      <c r="N35" s="230" t="s">
        <v>101</v>
      </c>
      <c r="O35" s="196" t="s">
        <v>101</v>
      </c>
      <c r="P35" s="230" t="s">
        <v>101</v>
      </c>
      <c r="Q35" s="264" t="s">
        <v>101</v>
      </c>
      <c r="R35" s="230" t="s">
        <v>101</v>
      </c>
      <c r="S35" s="901" t="s">
        <v>101</v>
      </c>
      <c r="T35" s="902" t="s">
        <v>101</v>
      </c>
      <c r="U35" s="902" t="s">
        <v>101</v>
      </c>
      <c r="V35" s="911" t="s">
        <v>101</v>
      </c>
      <c r="W35" s="148"/>
      <c r="X35" s="148"/>
    </row>
    <row r="36" spans="2:39" x14ac:dyDescent="0.35">
      <c r="B36" s="257" t="s">
        <v>131</v>
      </c>
      <c r="C36" s="299"/>
      <c r="D36" s="693">
        <v>113</v>
      </c>
      <c r="E36" s="748">
        <v>574</v>
      </c>
      <c r="F36" s="219">
        <v>113</v>
      </c>
      <c r="G36" s="749">
        <f t="shared" ref="G36" si="23">F36/E36</f>
        <v>0.19686411149825783</v>
      </c>
      <c r="H36" s="750">
        <v>395.72</v>
      </c>
      <c r="I36" s="751">
        <f>2170777.5/1000</f>
        <v>2170.7775000000001</v>
      </c>
      <c r="J36" s="752">
        <v>395.72</v>
      </c>
      <c r="K36" s="749">
        <f>J36/I36</f>
        <v>0.18229413194120539</v>
      </c>
      <c r="L36" s="753">
        <v>104.89779299999999</v>
      </c>
      <c r="M36" s="372" t="s">
        <v>101</v>
      </c>
      <c r="N36" s="372">
        <v>104.898</v>
      </c>
      <c r="O36" s="372" t="s">
        <v>101</v>
      </c>
      <c r="P36" s="372">
        <v>112.97499999999999</v>
      </c>
      <c r="Q36" s="725">
        <v>1.7000000000000001E-2</v>
      </c>
      <c r="R36" s="722">
        <v>1591.1590000000001</v>
      </c>
      <c r="S36" s="912">
        <v>1591.1590000000001</v>
      </c>
      <c r="T36" s="888">
        <v>1.7000000000000001E-2</v>
      </c>
      <c r="U36" s="913">
        <v>2146.6412719999998</v>
      </c>
      <c r="V36" s="914">
        <v>2.2846000000000002E-2</v>
      </c>
      <c r="W36" s="148"/>
      <c r="X36" s="148"/>
    </row>
    <row r="37" spans="2:39" ht="15" thickBot="1" x14ac:dyDescent="0.4">
      <c r="B37" s="88" t="s">
        <v>52</v>
      </c>
      <c r="C37" s="166"/>
      <c r="D37" s="212">
        <f>SUM(D35:D36)</f>
        <v>113</v>
      </c>
      <c r="E37" s="212">
        <f t="shared" ref="E37:F37" si="24">SUM(E35:E36)</f>
        <v>574</v>
      </c>
      <c r="F37" s="212">
        <f t="shared" si="24"/>
        <v>113</v>
      </c>
      <c r="G37" s="191">
        <f t="shared" ref="G37" si="25">F37/E37</f>
        <v>0.19686411149825783</v>
      </c>
      <c r="H37" s="182">
        <f>SUM(H35:H36)</f>
        <v>395.72</v>
      </c>
      <c r="I37" s="182">
        <f t="shared" ref="I37:K37" si="26">SUM(I35:I36)</f>
        <v>2170.7775000000001</v>
      </c>
      <c r="J37" s="182">
        <f t="shared" si="26"/>
        <v>395.72</v>
      </c>
      <c r="K37" s="182">
        <f t="shared" si="26"/>
        <v>0.18229413194120539</v>
      </c>
      <c r="L37" s="212">
        <f>SUM(L35:L36)</f>
        <v>104.89779299999999</v>
      </c>
      <c r="M37" s="212">
        <f t="shared" ref="M37:N37" si="27">SUM(M35:M36)</f>
        <v>0</v>
      </c>
      <c r="N37" s="212">
        <f t="shared" si="27"/>
        <v>104.898</v>
      </c>
      <c r="O37" s="202" t="s">
        <v>101</v>
      </c>
      <c r="P37" s="213">
        <f>SUM(P35:P36)</f>
        <v>112.97499999999999</v>
      </c>
      <c r="Q37" s="213">
        <f t="shared" ref="Q37:V37" si="28">SUM(Q35:Q36)</f>
        <v>1.7000000000000001E-2</v>
      </c>
      <c r="R37" s="213">
        <f t="shared" si="28"/>
        <v>1591.1590000000001</v>
      </c>
      <c r="S37" s="915">
        <f t="shared" si="28"/>
        <v>1591.1590000000001</v>
      </c>
      <c r="T37" s="916">
        <f t="shared" si="28"/>
        <v>1.7000000000000001E-2</v>
      </c>
      <c r="U37" s="916">
        <f t="shared" si="28"/>
        <v>2146.6412719999998</v>
      </c>
      <c r="V37" s="916">
        <f t="shared" si="28"/>
        <v>2.2846000000000002E-2</v>
      </c>
      <c r="W37" s="151"/>
      <c r="X37" s="151"/>
    </row>
    <row r="38" spans="2:39" x14ac:dyDescent="0.35">
      <c r="B38" s="129"/>
      <c r="C38" s="130"/>
      <c r="D38" s="214"/>
      <c r="E38" s="206"/>
      <c r="F38" s="206"/>
      <c r="G38" s="192"/>
      <c r="H38" s="183"/>
      <c r="I38" s="177"/>
      <c r="J38" s="177"/>
      <c r="K38" s="192"/>
      <c r="L38" s="286"/>
      <c r="M38" s="287"/>
      <c r="N38" s="287"/>
      <c r="O38" s="288"/>
      <c r="P38" s="287"/>
      <c r="Q38" s="289"/>
      <c r="R38" s="287"/>
      <c r="S38" s="876"/>
      <c r="T38" s="877"/>
      <c r="U38" s="877"/>
      <c r="V38" s="917"/>
      <c r="W38" s="148"/>
      <c r="X38" s="148"/>
    </row>
    <row r="39" spans="2:39" ht="15" thickBot="1" x14ac:dyDescent="0.4">
      <c r="B39" s="88" t="s">
        <v>53</v>
      </c>
      <c r="C39" s="128"/>
      <c r="D39" s="212">
        <f>SUM(D37,D32,D26,D19)</f>
        <v>287879</v>
      </c>
      <c r="E39" s="916">
        <f>SUM(E37,E32,E26,E19)</f>
        <v>217845</v>
      </c>
      <c r="F39" s="213">
        <f>SUM(F37,F32,F26,F19)</f>
        <v>287879</v>
      </c>
      <c r="G39" s="191">
        <f>F39/E39</f>
        <v>1.3214854598453027</v>
      </c>
      <c r="H39" s="253">
        <f>SUM(H37,H32,H26,H19)</f>
        <v>4552.75</v>
      </c>
      <c r="I39" s="918">
        <f>SUM(I37,I32,I26,I19)</f>
        <v>37245.1685</v>
      </c>
      <c r="J39" s="179">
        <f>SUM(J37,J32,J26,J19)</f>
        <v>4552.75</v>
      </c>
      <c r="K39" s="254">
        <f>J39/I39</f>
        <v>0.12223733126620168</v>
      </c>
      <c r="L39" s="212">
        <f>SUM(L37,L32,L26,L19)</f>
        <v>15803.087684080048</v>
      </c>
      <c r="M39" s="213">
        <f>SUM(M37,M32,M26,M19)</f>
        <v>59555.728000000003</v>
      </c>
      <c r="N39" s="213">
        <f>SUM(N37,N32,N26,N19)</f>
        <v>15803.087891080049</v>
      </c>
      <c r="O39" s="202">
        <f>N39/M39</f>
        <v>0.26534958805440256</v>
      </c>
      <c r="P39" s="213">
        <f>SUM(P37,P32,P26,P19)</f>
        <v>17531.568728554255</v>
      </c>
      <c r="Q39" s="270">
        <f>SUM(Q37,Q32,Q26,Q19)</f>
        <v>3.7934320000000001</v>
      </c>
      <c r="R39" s="213">
        <f>SUM(R37,R32,R26,R19)</f>
        <v>184039.86900000001</v>
      </c>
      <c r="S39" s="915">
        <f t="shared" ref="S39:U39" si="29">SUM(S37,S32,S26,S19)</f>
        <v>184040.15899999999</v>
      </c>
      <c r="T39" s="919">
        <f>SUM(T37,T32,T26,T19)</f>
        <v>3.7934320000000001</v>
      </c>
      <c r="U39" s="916">
        <f t="shared" si="29"/>
        <v>204323.31292200001</v>
      </c>
      <c r="V39" s="920">
        <f>SUM(V37,V32,V26,V19)</f>
        <v>4.2923838879999998</v>
      </c>
      <c r="W39" s="148"/>
      <c r="X39" s="148"/>
    </row>
    <row r="40" spans="2:39" x14ac:dyDescent="0.35">
      <c r="B40" s="19" t="s">
        <v>54</v>
      </c>
      <c r="C40" s="21"/>
      <c r="D40" s="662"/>
      <c r="E40" s="663"/>
      <c r="F40" s="663"/>
      <c r="G40" s="664"/>
      <c r="H40" s="921">
        <v>17.77</v>
      </c>
      <c r="I40" s="921">
        <f>200000/1000</f>
        <v>200</v>
      </c>
      <c r="J40" s="921">
        <v>17.77</v>
      </c>
      <c r="K40" s="193">
        <f>J40/I40</f>
        <v>8.8849999999999998E-2</v>
      </c>
      <c r="L40" s="665"/>
      <c r="M40" s="663"/>
      <c r="N40" s="663"/>
      <c r="O40" s="666"/>
      <c r="P40" s="663"/>
      <c r="Q40" s="663"/>
      <c r="R40" s="824"/>
      <c r="S40" s="93"/>
      <c r="T40" s="95"/>
      <c r="U40" s="93"/>
      <c r="V40" s="93"/>
      <c r="W40" s="96"/>
      <c r="X40" s="96"/>
      <c r="Y40" s="93"/>
      <c r="Z40" s="93"/>
      <c r="AA40" s="93"/>
      <c r="AB40" s="93"/>
      <c r="AC40" s="93"/>
      <c r="AD40" s="93"/>
      <c r="AE40" s="93"/>
      <c r="AF40" s="93"/>
      <c r="AG40" s="93"/>
      <c r="AH40" s="93"/>
      <c r="AI40" s="93"/>
      <c r="AJ40" s="93"/>
      <c r="AK40" s="93"/>
      <c r="AL40" s="93"/>
      <c r="AM40" s="93"/>
    </row>
    <row r="41" spans="2:39" ht="16.5" x14ac:dyDescent="0.35">
      <c r="B41" s="667" t="s">
        <v>132</v>
      </c>
      <c r="C41" s="668"/>
      <c r="D41" s="668"/>
      <c r="E41" s="668"/>
      <c r="F41" s="668"/>
      <c r="G41" s="668"/>
      <c r="H41" s="668"/>
      <c r="I41" s="668"/>
      <c r="J41" s="669"/>
      <c r="K41" s="668"/>
      <c r="L41" s="668"/>
      <c r="M41" s="668"/>
      <c r="N41" s="670"/>
      <c r="O41" s="668"/>
      <c r="P41" s="668"/>
      <c r="Q41" s="668"/>
      <c r="R41" s="668"/>
      <c r="S41" s="845"/>
      <c r="T41" s="671"/>
      <c r="U41" s="668"/>
      <c r="V41" s="672"/>
      <c r="W41" s="96"/>
      <c r="X41" s="96"/>
      <c r="Y41" s="93"/>
      <c r="Z41" s="93"/>
      <c r="AA41" s="93"/>
      <c r="AB41" s="93"/>
      <c r="AC41" s="93"/>
      <c r="AD41" s="93"/>
      <c r="AE41" s="93"/>
      <c r="AF41" s="93"/>
      <c r="AG41" s="93"/>
      <c r="AH41" s="93"/>
      <c r="AI41" s="93"/>
      <c r="AJ41" s="93"/>
      <c r="AK41" s="93"/>
      <c r="AL41" s="93"/>
      <c r="AM41" s="93"/>
    </row>
    <row r="42" spans="2:39" ht="16.5" x14ac:dyDescent="0.35">
      <c r="B42" s="673" t="s">
        <v>133</v>
      </c>
      <c r="C42" s="93"/>
      <c r="D42" s="93"/>
      <c r="E42" s="93"/>
      <c r="F42" s="93"/>
      <c r="G42" s="93"/>
      <c r="H42" s="93"/>
      <c r="I42" s="93"/>
      <c r="J42" s="93"/>
      <c r="K42" s="93"/>
      <c r="L42" s="93"/>
      <c r="M42" s="93"/>
      <c r="N42" s="93"/>
      <c r="O42" s="93"/>
      <c r="P42" s="93"/>
      <c r="Q42" s="93"/>
      <c r="R42" s="93"/>
      <c r="T42" s="674"/>
      <c r="V42" s="675"/>
    </row>
    <row r="43" spans="2:39" ht="16.5" x14ac:dyDescent="0.35">
      <c r="B43" s="673" t="s">
        <v>134</v>
      </c>
      <c r="N43" s="676"/>
      <c r="O43" s="676"/>
      <c r="P43" s="676"/>
      <c r="Q43" s="677"/>
      <c r="T43" s="674"/>
      <c r="V43" s="675"/>
    </row>
    <row r="44" spans="2:39" ht="16.5" x14ac:dyDescent="0.35">
      <c r="B44" s="673" t="s">
        <v>135</v>
      </c>
      <c r="N44" s="676"/>
      <c r="O44" s="676"/>
      <c r="P44" s="676"/>
      <c r="Q44" s="677"/>
      <c r="T44" s="674"/>
      <c r="V44" s="675"/>
    </row>
    <row r="45" spans="2:39" x14ac:dyDescent="0.35">
      <c r="B45" s="298" t="s">
        <v>136</v>
      </c>
      <c r="C45" s="678"/>
      <c r="D45" s="678"/>
      <c r="E45" s="678"/>
      <c r="F45" s="678"/>
      <c r="G45" s="678"/>
      <c r="H45" s="678"/>
      <c r="I45" s="678"/>
      <c r="J45" s="678"/>
      <c r="K45" s="678"/>
      <c r="L45" s="678"/>
      <c r="M45" s="678"/>
      <c r="N45" s="679"/>
      <c r="O45" s="679"/>
      <c r="P45" s="679"/>
      <c r="Q45" s="680"/>
      <c r="R45" s="678"/>
      <c r="S45" s="678"/>
      <c r="T45" s="580"/>
      <c r="U45" s="678"/>
      <c r="V45" s="681"/>
    </row>
    <row r="49" spans="2:24" x14ac:dyDescent="0.35">
      <c r="K49" s="247"/>
    </row>
    <row r="50" spans="2:24" x14ac:dyDescent="0.35">
      <c r="K50" s="247"/>
    </row>
    <row r="51" spans="2:24" x14ac:dyDescent="0.35">
      <c r="K51" s="247"/>
    </row>
    <row r="52" spans="2:24" x14ac:dyDescent="0.35">
      <c r="K52" s="247"/>
    </row>
    <row r="53" spans="2:24" x14ac:dyDescent="0.35">
      <c r="K53" s="247"/>
    </row>
    <row r="54" spans="2:24" x14ac:dyDescent="0.35">
      <c r="K54" s="247"/>
    </row>
    <row r="55" spans="2:24" ht="15" x14ac:dyDescent="0.4">
      <c r="B55" s="825"/>
      <c r="K55" s="247"/>
    </row>
    <row r="56" spans="2:24" x14ac:dyDescent="0.35">
      <c r="K56" s="247"/>
    </row>
    <row r="57" spans="2:24" x14ac:dyDescent="0.35">
      <c r="K57" s="247"/>
    </row>
    <row r="58" spans="2:24" x14ac:dyDescent="0.35">
      <c r="K58" s="247"/>
    </row>
    <row r="59" spans="2:24" x14ac:dyDescent="0.35">
      <c r="K59" s="247"/>
    </row>
    <row r="60" spans="2:24" x14ac:dyDescent="0.35">
      <c r="K60" s="247"/>
    </row>
    <row r="62" spans="2:24" x14ac:dyDescent="0.35">
      <c r="K62" s="247"/>
      <c r="M62" s="2"/>
      <c r="P62" s="3"/>
      <c r="Q62"/>
      <c r="S62" s="5"/>
      <c r="T62"/>
      <c r="V62" s="2"/>
      <c r="X62"/>
    </row>
    <row r="63" spans="2:24" x14ac:dyDescent="0.35">
      <c r="K63" s="247"/>
      <c r="M63" s="2"/>
      <c r="P63" s="3"/>
      <c r="Q63"/>
      <c r="S63" s="5"/>
      <c r="T63"/>
      <c r="V63" s="2"/>
      <c r="X63"/>
    </row>
    <row r="64" spans="2:24" x14ac:dyDescent="0.35">
      <c r="K64" s="247"/>
      <c r="M64" s="2"/>
      <c r="P64" s="3"/>
      <c r="Q64"/>
      <c r="S64" s="5"/>
      <c r="T64"/>
      <c r="V64" s="2"/>
      <c r="X64"/>
    </row>
    <row r="65" spans="11:24" x14ac:dyDescent="0.35">
      <c r="K65" s="247"/>
      <c r="M65" s="2"/>
      <c r="P65" s="3"/>
      <c r="Q65"/>
      <c r="S65" s="5"/>
      <c r="T65"/>
      <c r="V65" s="2"/>
      <c r="X65"/>
    </row>
    <row r="66" spans="11:24" x14ac:dyDescent="0.35">
      <c r="K66" s="247"/>
      <c r="M66" s="2"/>
      <c r="P66" s="3"/>
      <c r="Q66"/>
      <c r="S66" s="5"/>
      <c r="T66"/>
      <c r="V66" s="2"/>
      <c r="X66"/>
    </row>
    <row r="67" spans="11:24" x14ac:dyDescent="0.35">
      <c r="K67" s="247"/>
      <c r="M67" s="2"/>
      <c r="P67" s="3"/>
      <c r="Q67"/>
      <c r="S67" s="5"/>
      <c r="T67"/>
      <c r="V67" s="2"/>
      <c r="X67"/>
    </row>
    <row r="68" spans="11:24" x14ac:dyDescent="0.35">
      <c r="K68" s="247"/>
      <c r="M68" s="2"/>
      <c r="P68" s="3"/>
      <c r="Q68"/>
      <c r="S68" s="5"/>
      <c r="T68"/>
      <c r="V68" s="2"/>
      <c r="X68"/>
    </row>
    <row r="69" spans="11:24" x14ac:dyDescent="0.35">
      <c r="K69" s="247"/>
      <c r="M69" s="2"/>
      <c r="P69" s="3"/>
      <c r="Q69"/>
      <c r="S69" s="5"/>
      <c r="T69"/>
      <c r="V69" s="2"/>
      <c r="X69"/>
    </row>
    <row r="70" spans="11:24" x14ac:dyDescent="0.35">
      <c r="K70" s="247"/>
      <c r="M70" s="2"/>
      <c r="P70" s="3"/>
      <c r="Q70"/>
      <c r="S70" s="5"/>
      <c r="T70"/>
      <c r="V70" s="2"/>
      <c r="X70"/>
    </row>
    <row r="71" spans="11:24" x14ac:dyDescent="0.35">
      <c r="K71" s="247"/>
      <c r="M71" s="2"/>
      <c r="P71" s="3"/>
      <c r="Q71"/>
      <c r="S71" s="5"/>
      <c r="T71"/>
      <c r="V71" s="2"/>
      <c r="X71"/>
    </row>
    <row r="72" spans="11:24" x14ac:dyDescent="0.35">
      <c r="K72" s="247"/>
      <c r="M72" s="2"/>
      <c r="P72" s="3"/>
      <c r="Q72"/>
      <c r="S72" s="5"/>
      <c r="T72"/>
      <c r="V72" s="2"/>
      <c r="X72"/>
    </row>
    <row r="73" spans="11:24" x14ac:dyDescent="0.35">
      <c r="K73" s="247"/>
      <c r="M73" s="2"/>
      <c r="P73" s="3"/>
      <c r="Q73"/>
      <c r="S73" s="5"/>
      <c r="T73"/>
      <c r="V73" s="2"/>
      <c r="X73"/>
    </row>
  </sheetData>
  <mergeCells count="9">
    <mergeCell ref="B28:B31"/>
    <mergeCell ref="B23:B25"/>
    <mergeCell ref="B8:B13"/>
    <mergeCell ref="B15:B17"/>
    <mergeCell ref="S1:V3"/>
    <mergeCell ref="S4:V4"/>
    <mergeCell ref="D4:G4"/>
    <mergeCell ref="H4:K4"/>
    <mergeCell ref="L4:R4"/>
  </mergeCells>
  <pageMargins left="0.25" right="0.25" top="0.75" bottom="0.75" header="0.3" footer="0.3"/>
  <pageSetup paperSize="5" scale="10" fitToHeight="0" orientation="landscape" r:id="rId1"/>
  <headerFooter>
    <oddHeader xml:space="preserve">&amp;CACE Q1 of Program Year 2022 Portfolio Summary Reporting Table </oddHeader>
    <oddFooter>&amp;C&amp;N&amp;R&amp;D</oddFooter>
  </headerFooter>
  <ignoredErrors>
    <ignoredError sqref="M14 O14 M32 O32 O26 O19 G14 I14 G19 K39 G37 G39 O3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13"/>
  <sheetViews>
    <sheetView workbookViewId="0"/>
  </sheetViews>
  <sheetFormatPr defaultColWidth="8.81640625" defaultRowHeight="14.5" x14ac:dyDescent="0.35"/>
  <cols>
    <col min="1" max="1" width="4.7265625" customWidth="1"/>
    <col min="2" max="2" width="30.7265625" bestFit="1" customWidth="1"/>
    <col min="3" max="8" width="7.26953125" customWidth="1"/>
    <col min="9" max="14" width="7.7265625" customWidth="1"/>
    <col min="15" max="15" width="14.7265625" customWidth="1"/>
    <col min="16" max="20" width="7.7265625" customWidth="1"/>
    <col min="21" max="21" width="30.7265625" bestFit="1" customWidth="1"/>
  </cols>
  <sheetData>
    <row r="1" spans="1:20" x14ac:dyDescent="0.35">
      <c r="A1" s="305"/>
      <c r="B1" s="305"/>
      <c r="C1" s="305"/>
      <c r="D1" s="305"/>
      <c r="E1" s="305"/>
      <c r="F1" s="305"/>
      <c r="G1" s="305"/>
      <c r="H1" s="305"/>
      <c r="I1" s="305"/>
    </row>
    <row r="2" spans="1:20" ht="15.5" x14ac:dyDescent="0.35">
      <c r="A2" s="305"/>
      <c r="B2" s="961" t="s">
        <v>154</v>
      </c>
      <c r="C2" s="961"/>
      <c r="D2" s="961"/>
      <c r="E2" s="961"/>
      <c r="F2" s="961"/>
      <c r="G2" s="961"/>
      <c r="H2" s="961"/>
      <c r="I2" s="961"/>
      <c r="J2" s="961"/>
      <c r="K2" s="961"/>
      <c r="L2" s="961"/>
      <c r="M2" s="961"/>
      <c r="N2" s="961"/>
      <c r="O2" s="586"/>
      <c r="P2" s="586"/>
      <c r="Q2" s="586"/>
      <c r="R2" s="586"/>
      <c r="S2" s="586"/>
      <c r="T2" s="586"/>
    </row>
    <row r="3" spans="1:20" x14ac:dyDescent="0.35">
      <c r="A3" s="305"/>
      <c r="B3" s="565"/>
      <c r="C3" s="960" t="s">
        <v>155</v>
      </c>
      <c r="D3" s="960"/>
      <c r="E3" s="960"/>
      <c r="F3" s="960"/>
      <c r="G3" s="960"/>
      <c r="H3" s="960"/>
      <c r="I3" s="960" t="s">
        <v>156</v>
      </c>
      <c r="J3" s="960"/>
      <c r="K3" s="960"/>
      <c r="L3" s="960"/>
      <c r="M3" s="960"/>
      <c r="N3" s="960"/>
    </row>
    <row r="4" spans="1:20" x14ac:dyDescent="0.35">
      <c r="A4" s="305"/>
      <c r="B4" s="585"/>
      <c r="C4" s="559" t="s">
        <v>157</v>
      </c>
      <c r="D4" s="560" t="s">
        <v>158</v>
      </c>
      <c r="E4" s="560" t="s">
        <v>159</v>
      </c>
      <c r="F4" s="561" t="s">
        <v>160</v>
      </c>
      <c r="G4" s="563" t="s">
        <v>161</v>
      </c>
      <c r="H4" s="563" t="s">
        <v>162</v>
      </c>
      <c r="I4" s="559" t="s">
        <v>157</v>
      </c>
      <c r="J4" s="560" t="s">
        <v>158</v>
      </c>
      <c r="K4" s="560" t="s">
        <v>159</v>
      </c>
      <c r="L4" s="561" t="s">
        <v>160</v>
      </c>
      <c r="M4" s="563" t="s">
        <v>161</v>
      </c>
      <c r="N4" s="564" t="s">
        <v>162</v>
      </c>
    </row>
    <row r="5" spans="1:20" x14ac:dyDescent="0.35">
      <c r="B5" s="562" t="s">
        <v>53</v>
      </c>
      <c r="C5" s="562">
        <v>3.8</v>
      </c>
      <c r="D5" s="562">
        <v>5.5</v>
      </c>
      <c r="E5" s="562">
        <v>3.2</v>
      </c>
      <c r="F5" s="562">
        <v>1.5</v>
      </c>
      <c r="G5" s="562">
        <v>2.9</v>
      </c>
      <c r="H5" s="562">
        <v>7.4</v>
      </c>
      <c r="I5" s="583">
        <f>'AP H - CostTest'!$G$49</f>
        <v>2.285043159517441</v>
      </c>
      <c r="J5" s="583">
        <f>'AP H - CostTest'!$G$23</f>
        <v>8.2032847419263124</v>
      </c>
      <c r="K5" s="583">
        <f>'AP H - CostTest'!$G$26</f>
        <v>0.98637837503576731</v>
      </c>
      <c r="L5" s="584">
        <f>'AP H - CostTest'!$G$31</f>
        <v>0.24942845238377662</v>
      </c>
      <c r="M5" s="584">
        <f>'AP H - CostTest'!$G$18</f>
        <v>0.8479883914825378</v>
      </c>
      <c r="N5" s="584">
        <v>1.01569297647583</v>
      </c>
    </row>
    <row r="6" spans="1:20" x14ac:dyDescent="0.35">
      <c r="B6" s="562" t="s">
        <v>112</v>
      </c>
      <c r="C6" s="562">
        <v>5.2</v>
      </c>
      <c r="D6" s="562">
        <v>6.5</v>
      </c>
      <c r="E6" s="562">
        <v>4.8</v>
      </c>
      <c r="F6" s="562">
        <v>2</v>
      </c>
      <c r="G6" s="562">
        <v>3.9</v>
      </c>
      <c r="H6" s="562">
        <v>11</v>
      </c>
      <c r="I6" s="583">
        <f>'AP H - CostTest'!$D$49</f>
        <v>1.3053558739628566</v>
      </c>
      <c r="J6" s="583">
        <f>'AP H - CostTest'!$D$23</f>
        <v>3.8039183004042512</v>
      </c>
      <c r="K6" s="583">
        <f>'AP H - CostTest'!$D$26</f>
        <v>0.6870310655102162</v>
      </c>
      <c r="L6" s="584">
        <f>'AP H - CostTest'!$D$31</f>
        <v>0.26101354461764914</v>
      </c>
      <c r="M6" s="584">
        <f>'AP H - CostTest'!$D$18</f>
        <v>0.54968235386226594</v>
      </c>
      <c r="N6" s="584">
        <v>0.68194573915091194</v>
      </c>
    </row>
    <row r="7" spans="1:20" x14ac:dyDescent="0.35">
      <c r="B7" s="562" t="s">
        <v>139</v>
      </c>
      <c r="C7" s="562">
        <v>3.1</v>
      </c>
      <c r="D7" s="562">
        <v>5.5</v>
      </c>
      <c r="E7" s="562">
        <v>2.7</v>
      </c>
      <c r="F7" s="562">
        <v>1.1000000000000001</v>
      </c>
      <c r="G7" s="562">
        <v>2.4</v>
      </c>
      <c r="H7" s="562">
        <v>5.2</v>
      </c>
      <c r="I7" s="583">
        <v>3.3430276024051202</v>
      </c>
      <c r="J7" s="583">
        <v>15.222879798160401</v>
      </c>
      <c r="K7" s="583">
        <v>1.2662724440875499</v>
      </c>
      <c r="L7" s="584">
        <v>0.243935831733085</v>
      </c>
      <c r="M7" s="584">
        <v>1.1701352149386199</v>
      </c>
      <c r="N7" s="584">
        <v>1.37611348019465</v>
      </c>
    </row>
    <row r="8" spans="1:20" x14ac:dyDescent="0.35">
      <c r="B8" s="562" t="s">
        <v>42</v>
      </c>
      <c r="C8" s="562">
        <v>2.6</v>
      </c>
      <c r="D8" s="562">
        <v>4.7</v>
      </c>
      <c r="E8" s="562">
        <v>1.7</v>
      </c>
      <c r="F8" s="562">
        <v>1</v>
      </c>
      <c r="G8" s="562">
        <v>1.9</v>
      </c>
      <c r="H8" s="562">
        <v>4.8</v>
      </c>
      <c r="I8" s="583">
        <f>'AP H - CostTest'!$I$49</f>
        <v>0</v>
      </c>
      <c r="J8" s="583">
        <f>'AP H - CostTest'!$I$23</f>
        <v>0</v>
      </c>
      <c r="K8" s="583">
        <f>'AP H - CostTest'!$I$26</f>
        <v>0</v>
      </c>
      <c r="L8" s="584">
        <f>'AP H - CostTest'!$I$31</f>
        <v>0</v>
      </c>
      <c r="M8" s="584">
        <f>'AP H - CostTest'!$I$18</f>
        <v>0</v>
      </c>
      <c r="N8" s="584">
        <v>0</v>
      </c>
    </row>
    <row r="9" spans="1:20" x14ac:dyDescent="0.35">
      <c r="B9" s="562" t="s">
        <v>33</v>
      </c>
      <c r="C9" s="562">
        <v>4.5999999999999996</v>
      </c>
      <c r="D9" s="562">
        <v>10.199999999999999</v>
      </c>
      <c r="E9" s="562">
        <v>3.7</v>
      </c>
      <c r="F9" s="562">
        <v>1.2</v>
      </c>
      <c r="G9" s="562">
        <v>3.5</v>
      </c>
      <c r="H9" s="562">
        <v>7.5</v>
      </c>
      <c r="I9" s="583">
        <f>'AP H - CostTest'!$H$49</f>
        <v>4.3776908628690645</v>
      </c>
      <c r="J9" s="583">
        <f>'AP H - CostTest'!$H$23</f>
        <v>14.39901343597217</v>
      </c>
      <c r="K9" s="583">
        <f>'AP H - CostTest'!$H$26</f>
        <v>1.7053001645518653</v>
      </c>
      <c r="L9" s="584">
        <f>'AP H - CostTest'!$H$31</f>
        <v>0.25205303136027352</v>
      </c>
      <c r="M9" s="584">
        <f>'AP H - CostTest'!$H$18</f>
        <v>1.5003459427272223</v>
      </c>
      <c r="N9" s="584">
        <v>1.77582977007264</v>
      </c>
    </row>
    <row r="10" spans="1:20" x14ac:dyDescent="0.35">
      <c r="B10" s="562" t="s">
        <v>44</v>
      </c>
      <c r="C10" s="587">
        <v>7.3907289515709147</v>
      </c>
      <c r="D10" s="587">
        <v>7.7471539987534408</v>
      </c>
      <c r="E10" s="587">
        <v>10.376766467040156</v>
      </c>
      <c r="F10" s="587">
        <v>2.7950720036997025</v>
      </c>
      <c r="G10" s="588">
        <v>5.6959702145611315</v>
      </c>
      <c r="H10" s="589">
        <v>16.28771657135146</v>
      </c>
      <c r="I10" s="583">
        <f>'AP H - CostTest'!$J$49</f>
        <v>1.7034251452499201</v>
      </c>
      <c r="J10" s="583">
        <f>'AP H - CostTest'!$J$23</f>
        <v>3.8039183004042512</v>
      </c>
      <c r="K10" s="583">
        <f>'AP H - CostTest'!$J$26</f>
        <v>0.97049100876765504</v>
      </c>
      <c r="L10" s="584">
        <f>'AP H - CostTest'!$J$31</f>
        <v>0.29359204868874139</v>
      </c>
      <c r="M10" s="584">
        <f>'AP H - CostTest'!$J$18</f>
        <v>0.71730840772682014</v>
      </c>
      <c r="N10" s="584">
        <v>0.88990561343178998</v>
      </c>
    </row>
    <row r="11" spans="1:20" x14ac:dyDescent="0.35">
      <c r="B11" s="562" t="s">
        <v>34</v>
      </c>
      <c r="C11" s="587">
        <v>1.6166741131827793</v>
      </c>
      <c r="D11" s="591">
        <v>2.7428497342627178</v>
      </c>
      <c r="E11" s="591">
        <v>1.2834301585087025</v>
      </c>
      <c r="F11" s="591">
        <v>0.76940907816116932</v>
      </c>
      <c r="G11" s="590">
        <v>1.1606292552553075</v>
      </c>
      <c r="H11" s="591">
        <v>2.7258823624604727</v>
      </c>
      <c r="I11" s="583">
        <f>'AP H - CostTest'!$K$49</f>
        <v>7.0457139718472062E-2</v>
      </c>
      <c r="J11" s="583">
        <f>'AP H - CostTest'!$K$23</f>
        <v>1.8579073834007962</v>
      </c>
      <c r="K11" s="583">
        <f>'AP H - CostTest'!$K$26</f>
        <v>2.1101947977855567E-2</v>
      </c>
      <c r="L11" s="584">
        <f>'AP H - CostTest'!$K$31</f>
        <v>1.9552866217914074E-2</v>
      </c>
      <c r="M11" s="584">
        <f>'AP H - CostTest'!$K$18</f>
        <v>2.056410875960166E-2</v>
      </c>
      <c r="N11" s="584">
        <v>2.6577087435215099E-2</v>
      </c>
    </row>
    <row r="12" spans="1:20" x14ac:dyDescent="0.35">
      <c r="B12" s="562" t="s">
        <v>50</v>
      </c>
      <c r="C12" s="562">
        <v>2.9</v>
      </c>
      <c r="D12" s="562">
        <v>4.8</v>
      </c>
      <c r="E12" s="562">
        <v>2.6</v>
      </c>
      <c r="F12" s="562">
        <v>1.1000000000000001</v>
      </c>
      <c r="G12" s="562">
        <v>2.6</v>
      </c>
      <c r="H12" s="562">
        <v>3.9</v>
      </c>
      <c r="I12" s="583">
        <f>'AP H - CostTest'!L49</f>
        <v>6.2004282268377535</v>
      </c>
      <c r="J12" s="583">
        <f>'AP H - CostTest'!$L$23</f>
        <v>25.420585637889175</v>
      </c>
      <c r="K12" s="583">
        <f>'AP H - CostTest'!L26</f>
        <v>2.3197754126461825</v>
      </c>
      <c r="L12" s="584">
        <f>'AP H - CostTest'!L31</f>
        <v>0.28335988295878328</v>
      </c>
      <c r="M12" s="584">
        <f>'AP H - CostTest'!L18</f>
        <v>2.3197754126461825</v>
      </c>
      <c r="N12" s="584">
        <v>2.6729582114031101</v>
      </c>
    </row>
    <row r="13" spans="1:20" x14ac:dyDescent="0.35">
      <c r="B13" s="562" t="s">
        <v>110</v>
      </c>
      <c r="C13" s="562">
        <v>4.2</v>
      </c>
      <c r="D13" s="562">
        <v>6</v>
      </c>
      <c r="E13" s="562">
        <v>3.1</v>
      </c>
      <c r="F13" s="562">
        <v>1.2</v>
      </c>
      <c r="G13" s="562">
        <v>3.1</v>
      </c>
      <c r="H13" s="562">
        <v>6.9</v>
      </c>
      <c r="I13" s="583">
        <v>0</v>
      </c>
      <c r="J13" s="583">
        <v>0</v>
      </c>
      <c r="K13" s="583">
        <v>0</v>
      </c>
      <c r="L13" s="584">
        <v>0</v>
      </c>
      <c r="M13" s="584">
        <v>0</v>
      </c>
      <c r="N13" s="584">
        <v>0</v>
      </c>
    </row>
  </sheetData>
  <mergeCells count="3">
    <mergeCell ref="C3:H3"/>
    <mergeCell ref="B2:N2"/>
    <mergeCell ref="I3:N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1640625" defaultRowHeight="14.5" x14ac:dyDescent="0.35"/>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27"/>
  <sheetViews>
    <sheetView zoomScale="90" zoomScaleNormal="90" workbookViewId="0">
      <selection activeCell="J9" sqref="J9"/>
    </sheetView>
  </sheetViews>
  <sheetFormatPr defaultColWidth="9.453125" defaultRowHeight="14.5" x14ac:dyDescent="0.35"/>
  <cols>
    <col min="1" max="1" width="4.453125" customWidth="1"/>
    <col min="2" max="2" width="22.26953125" customWidth="1"/>
    <col min="3" max="3" width="35" customWidth="1"/>
    <col min="4" max="8" width="13.453125" customWidth="1"/>
    <col min="9" max="9" width="14.453125" customWidth="1"/>
    <col min="10" max="10" width="16.453125" customWidth="1"/>
    <col min="11" max="11" width="16.453125" style="5" customWidth="1"/>
    <col min="12" max="13" width="16.453125" customWidth="1"/>
    <col min="14" max="15" width="15.453125" style="2" customWidth="1"/>
    <col min="16" max="16" width="13.453125" customWidth="1"/>
    <col min="20" max="20" width="9.453125" customWidth="1"/>
  </cols>
  <sheetData>
    <row r="1" spans="1:15" ht="22.5" x14ac:dyDescent="0.45">
      <c r="A1" s="651" t="s">
        <v>0</v>
      </c>
      <c r="K1" s="146"/>
      <c r="N1" s="145"/>
      <c r="O1" s="145"/>
    </row>
    <row r="2" spans="1:15" x14ac:dyDescent="0.35">
      <c r="K2" s="146"/>
      <c r="N2" s="145"/>
      <c r="O2" s="145"/>
    </row>
    <row r="3" spans="1:15" ht="19" thickBot="1" x14ac:dyDescent="0.5">
      <c r="A3" s="6"/>
      <c r="B3" s="6" t="str">
        <f>'Qtr Electric Master'!B3</f>
        <v>For Period Ending PY23 Q1</v>
      </c>
      <c r="C3" s="6"/>
      <c r="D3" s="6"/>
      <c r="E3" s="6"/>
      <c r="F3" s="6"/>
      <c r="G3" s="6"/>
      <c r="H3" s="6"/>
      <c r="K3" s="156"/>
      <c r="N3" s="145"/>
      <c r="O3" s="145"/>
    </row>
    <row r="4" spans="1:15" ht="43.5" customHeight="1" thickBot="1" x14ac:dyDescent="0.4">
      <c r="A4" t="s">
        <v>2</v>
      </c>
      <c r="B4" s="528"/>
      <c r="C4" s="528"/>
      <c r="D4" s="966" t="s">
        <v>7</v>
      </c>
      <c r="E4" s="966"/>
      <c r="F4" s="967" t="s">
        <v>165</v>
      </c>
      <c r="G4" s="968"/>
      <c r="H4" s="969" t="s">
        <v>57</v>
      </c>
      <c r="I4" s="970"/>
      <c r="K4" s="146"/>
      <c r="M4" s="153" t="s">
        <v>7</v>
      </c>
      <c r="N4" s="153"/>
      <c r="O4" s="153"/>
    </row>
    <row r="5" spans="1:15" ht="21" customHeight="1" thickBot="1" x14ac:dyDescent="0.4">
      <c r="B5" s="529"/>
      <c r="C5" s="529"/>
      <c r="D5" s="376" t="s">
        <v>10</v>
      </c>
      <c r="E5" s="373" t="s">
        <v>11</v>
      </c>
      <c r="F5" s="374" t="s">
        <v>12</v>
      </c>
      <c r="G5" s="375" t="s">
        <v>13</v>
      </c>
      <c r="H5" s="806" t="s">
        <v>14</v>
      </c>
      <c r="I5" s="807" t="s">
        <v>15</v>
      </c>
      <c r="K5" s="146"/>
      <c r="N5" s="145"/>
      <c r="O5" s="145"/>
    </row>
    <row r="6" spans="1:15" ht="52.5" customHeight="1" thickBot="1" x14ac:dyDescent="0.4">
      <c r="B6" s="530"/>
      <c r="C6" s="530"/>
      <c r="D6" s="971" t="s">
        <v>73</v>
      </c>
      <c r="E6" s="972"/>
      <c r="F6" s="973" t="s">
        <v>166</v>
      </c>
      <c r="G6" s="974"/>
      <c r="H6" s="975" t="s">
        <v>167</v>
      </c>
      <c r="I6" s="976"/>
      <c r="N6" s="145"/>
      <c r="O6" s="145"/>
    </row>
    <row r="7" spans="1:15" ht="26.5" thickBot="1" x14ac:dyDescent="0.4">
      <c r="B7" s="531" t="s">
        <v>31</v>
      </c>
      <c r="C7" s="532" t="s">
        <v>32</v>
      </c>
      <c r="D7" s="533" t="s">
        <v>107</v>
      </c>
      <c r="E7" s="534" t="s">
        <v>168</v>
      </c>
      <c r="F7" s="533" t="s">
        <v>107</v>
      </c>
      <c r="G7" s="534" t="s">
        <v>168</v>
      </c>
      <c r="H7" s="804" t="s">
        <v>107</v>
      </c>
      <c r="I7" s="805" t="s">
        <v>168</v>
      </c>
      <c r="J7" s="148"/>
      <c r="L7" s="148"/>
      <c r="M7" s="148"/>
      <c r="N7" s="148"/>
      <c r="O7" s="148"/>
    </row>
    <row r="8" spans="1:15" x14ac:dyDescent="0.35">
      <c r="B8" s="962" t="s">
        <v>33</v>
      </c>
      <c r="C8" s="377" t="s">
        <v>100</v>
      </c>
      <c r="D8" s="775">
        <v>5</v>
      </c>
      <c r="E8" s="776">
        <v>397</v>
      </c>
      <c r="F8" s="781">
        <f>2800/1000</f>
        <v>2.8</v>
      </c>
      <c r="G8" s="782">
        <f>120899.21/1000</f>
        <v>120.89921000000001</v>
      </c>
      <c r="H8" s="808">
        <v>1.302</v>
      </c>
      <c r="I8" s="809">
        <v>203.17099999999999</v>
      </c>
      <c r="J8" s="145"/>
      <c r="K8" s="150"/>
      <c r="L8" s="145"/>
      <c r="M8" s="145"/>
      <c r="N8" s="145"/>
      <c r="O8" s="145"/>
    </row>
    <row r="9" spans="1:15" x14ac:dyDescent="0.35">
      <c r="B9" s="963"/>
      <c r="C9" s="378" t="s">
        <v>108</v>
      </c>
      <c r="D9" s="777">
        <v>6892</v>
      </c>
      <c r="E9" s="778">
        <v>0</v>
      </c>
      <c r="F9" s="783">
        <f>190977.32/1000</f>
        <v>190.97732000000002</v>
      </c>
      <c r="G9" s="784">
        <v>0</v>
      </c>
      <c r="H9" s="787">
        <v>1863.9359999999999</v>
      </c>
      <c r="I9" s="788">
        <v>0</v>
      </c>
      <c r="J9" s="516"/>
      <c r="K9" s="498"/>
      <c r="L9" s="145"/>
      <c r="M9" s="145"/>
      <c r="N9" s="145"/>
      <c r="O9" s="145"/>
    </row>
    <row r="10" spans="1:15" ht="15" thickBot="1" x14ac:dyDescent="0.4">
      <c r="B10" s="963"/>
      <c r="C10" s="379" t="s">
        <v>169</v>
      </c>
      <c r="D10" s="777">
        <v>0</v>
      </c>
      <c r="E10" s="778">
        <v>44667</v>
      </c>
      <c r="F10" s="783">
        <v>0</v>
      </c>
      <c r="G10" s="784">
        <f>278094.14/1000</f>
        <v>278.09414000000004</v>
      </c>
      <c r="H10" s="778">
        <v>0</v>
      </c>
      <c r="I10" s="789">
        <v>7102.7809999999999</v>
      </c>
      <c r="J10" s="145"/>
      <c r="K10" s="150"/>
      <c r="L10" s="145"/>
      <c r="M10" s="145"/>
      <c r="N10" s="145"/>
      <c r="O10" s="145"/>
    </row>
    <row r="11" spans="1:15" ht="14.9" customHeight="1" x14ac:dyDescent="0.35">
      <c r="B11" s="962" t="s">
        <v>34</v>
      </c>
      <c r="C11" s="377" t="s">
        <v>170</v>
      </c>
      <c r="D11" s="775"/>
      <c r="E11" s="776">
        <v>15</v>
      </c>
      <c r="F11" s="781">
        <v>0</v>
      </c>
      <c r="G11" s="782">
        <f>58630/1000</f>
        <v>58.63</v>
      </c>
      <c r="H11" s="785">
        <v>3.41</v>
      </c>
      <c r="I11" s="786">
        <v>18.399999999999999</v>
      </c>
      <c r="J11" s="154"/>
      <c r="K11" s="370"/>
      <c r="L11" s="145"/>
      <c r="M11" s="145"/>
      <c r="N11" s="145"/>
      <c r="O11" s="367"/>
    </row>
    <row r="12" spans="1:15" ht="14.9" customHeight="1" x14ac:dyDescent="0.35">
      <c r="B12" s="963"/>
      <c r="C12" s="380" t="s">
        <v>164</v>
      </c>
      <c r="D12" s="777">
        <v>0</v>
      </c>
      <c r="E12" s="778">
        <v>0</v>
      </c>
      <c r="F12" s="783">
        <v>0</v>
      </c>
      <c r="G12" s="784">
        <v>0</v>
      </c>
      <c r="H12" s="790">
        <v>652.07899999999995</v>
      </c>
      <c r="I12" s="788">
        <v>815.79899999999998</v>
      </c>
      <c r="J12" s="154"/>
      <c r="K12" s="371"/>
      <c r="L12" s="148"/>
      <c r="M12" s="148"/>
      <c r="N12" s="148"/>
      <c r="O12" s="148"/>
    </row>
    <row r="13" spans="1:15" ht="14.9" customHeight="1" thickBot="1" x14ac:dyDescent="0.4">
      <c r="B13" s="963"/>
      <c r="C13" s="381" t="s">
        <v>37</v>
      </c>
      <c r="D13" s="779">
        <v>0</v>
      </c>
      <c r="E13" s="780" t="s">
        <v>171</v>
      </c>
      <c r="F13" s="802">
        <v>0</v>
      </c>
      <c r="G13" s="803" t="s">
        <v>101</v>
      </c>
      <c r="H13" s="778">
        <v>0</v>
      </c>
      <c r="I13" s="791" t="s">
        <v>101</v>
      </c>
      <c r="J13" s="154"/>
      <c r="K13" s="369"/>
      <c r="L13" s="151"/>
      <c r="M13" s="151"/>
      <c r="N13" s="151"/>
      <c r="O13" s="151"/>
    </row>
    <row r="14" spans="1:15" ht="26.5" thickBot="1" x14ac:dyDescent="0.4">
      <c r="B14" s="382" t="s">
        <v>38</v>
      </c>
      <c r="C14" s="382" t="s">
        <v>39</v>
      </c>
      <c r="D14" s="383" t="s">
        <v>163</v>
      </c>
      <c r="E14" s="557" t="s">
        <v>163</v>
      </c>
      <c r="F14" s="557" t="s">
        <v>163</v>
      </c>
      <c r="G14" s="557" t="s">
        <v>163</v>
      </c>
      <c r="H14" s="811" t="s">
        <v>163</v>
      </c>
      <c r="I14" s="810" t="s">
        <v>163</v>
      </c>
      <c r="J14" s="145"/>
      <c r="K14" s="369"/>
      <c r="L14" s="151"/>
      <c r="M14" s="151"/>
      <c r="N14" s="151"/>
      <c r="O14" s="151"/>
    </row>
    <row r="15" spans="1:15" ht="15" thickBot="1" x14ac:dyDescent="0.4">
      <c r="B15" s="535" t="s">
        <v>40</v>
      </c>
      <c r="C15" s="535"/>
      <c r="D15" s="536">
        <f t="shared" ref="D15:I15" si="0">SUM(D8:D14)</f>
        <v>6897</v>
      </c>
      <c r="E15" s="536">
        <f t="shared" si="0"/>
        <v>45079</v>
      </c>
      <c r="F15" s="537">
        <f t="shared" si="0"/>
        <v>193.77732000000003</v>
      </c>
      <c r="G15" s="538">
        <f t="shared" si="0"/>
        <v>457.62335000000007</v>
      </c>
      <c r="H15" s="539">
        <f t="shared" si="0"/>
        <v>2520.7269999999999</v>
      </c>
      <c r="I15" s="812">
        <f t="shared" si="0"/>
        <v>8140.1509999999998</v>
      </c>
      <c r="J15" s="148"/>
      <c r="K15" s="499"/>
      <c r="N15" s="500"/>
      <c r="O15" s="500"/>
    </row>
    <row r="16" spans="1:15" ht="15" thickBot="1" x14ac:dyDescent="0.4">
      <c r="B16" s="384"/>
      <c r="C16" s="384"/>
      <c r="D16" s="385"/>
      <c r="E16" s="386"/>
      <c r="F16" s="387"/>
      <c r="G16" s="388"/>
      <c r="H16" s="403"/>
      <c r="I16" s="404"/>
      <c r="J16" s="151"/>
      <c r="K16" s="499"/>
      <c r="N16" s="500"/>
      <c r="O16" s="500"/>
    </row>
    <row r="17" spans="2:30" x14ac:dyDescent="0.35">
      <c r="B17" s="964" t="s">
        <v>110</v>
      </c>
      <c r="C17" s="389" t="s">
        <v>128</v>
      </c>
      <c r="D17" s="399"/>
      <c r="E17" s="792"/>
      <c r="F17" s="793">
        <v>0</v>
      </c>
      <c r="G17" s="794">
        <v>0</v>
      </c>
      <c r="H17" s="405"/>
      <c r="I17" s="795"/>
      <c r="J17" s="151"/>
      <c r="K17" s="369"/>
      <c r="N17" s="500"/>
      <c r="O17" s="500"/>
    </row>
    <row r="18" spans="2:30" ht="15" thickBot="1" x14ac:dyDescent="0.4">
      <c r="B18" s="965"/>
      <c r="C18" s="390" t="s">
        <v>172</v>
      </c>
      <c r="D18" s="796"/>
      <c r="E18" s="797"/>
      <c r="F18" s="798">
        <v>0</v>
      </c>
      <c r="G18" s="799">
        <v>0</v>
      </c>
      <c r="H18" s="800"/>
      <c r="I18" s="801"/>
      <c r="J18" s="151"/>
      <c r="K18" s="501"/>
      <c r="L18" s="151"/>
      <c r="M18" s="151"/>
      <c r="N18" s="151"/>
      <c r="O18" s="151"/>
    </row>
    <row r="19" spans="2:30" ht="15" thickBot="1" x14ac:dyDescent="0.4">
      <c r="B19" s="541" t="s">
        <v>173</v>
      </c>
      <c r="C19" s="535"/>
      <c r="D19" s="542">
        <f>SUM(D17:D18)</f>
        <v>0</v>
      </c>
      <c r="E19" s="543">
        <f t="shared" ref="E19:I19" si="1">SUM(E17:E18)</f>
        <v>0</v>
      </c>
      <c r="F19" s="544">
        <f t="shared" si="1"/>
        <v>0</v>
      </c>
      <c r="G19" s="545">
        <f t="shared" si="1"/>
        <v>0</v>
      </c>
      <c r="H19" s="546">
        <f t="shared" si="1"/>
        <v>0</v>
      </c>
      <c r="I19" s="547">
        <f t="shared" si="1"/>
        <v>0</v>
      </c>
      <c r="J19" s="148"/>
      <c r="K19" s="371"/>
      <c r="L19" s="148"/>
      <c r="M19" s="148"/>
      <c r="N19" s="148"/>
      <c r="O19" s="148"/>
    </row>
    <row r="20" spans="2:30" ht="15" thickBot="1" x14ac:dyDescent="0.4">
      <c r="B20" s="391"/>
      <c r="C20" s="392"/>
      <c r="D20" s="393"/>
      <c r="E20" s="394"/>
      <c r="F20" s="395"/>
      <c r="G20" s="396"/>
      <c r="H20" s="406"/>
      <c r="I20" s="407"/>
      <c r="J20" s="147"/>
      <c r="K20" s="146"/>
      <c r="L20" s="147"/>
      <c r="M20" s="147"/>
      <c r="N20" s="145"/>
      <c r="O20" s="145"/>
    </row>
    <row r="21" spans="2:30" ht="15" thickBot="1" x14ac:dyDescent="0.4">
      <c r="B21" s="548" t="s">
        <v>50</v>
      </c>
      <c r="C21" s="535"/>
      <c r="D21" s="549"/>
      <c r="E21" s="550"/>
      <c r="F21" s="537"/>
      <c r="G21" s="538"/>
      <c r="H21" s="551"/>
      <c r="I21" s="540"/>
      <c r="J21" s="152"/>
      <c r="K21" s="149"/>
      <c r="L21" s="152"/>
      <c r="M21" s="152"/>
      <c r="N21" s="148"/>
      <c r="O21" s="148"/>
    </row>
    <row r="22" spans="2:30" x14ac:dyDescent="0.35">
      <c r="B22" s="397" t="s">
        <v>174</v>
      </c>
      <c r="C22" s="398"/>
      <c r="D22" s="399" t="s">
        <v>101</v>
      </c>
      <c r="E22" s="400" t="s">
        <v>101</v>
      </c>
      <c r="F22" s="401" t="s">
        <v>101</v>
      </c>
      <c r="G22" s="402" t="s">
        <v>101</v>
      </c>
      <c r="H22" s="405" t="s">
        <v>101</v>
      </c>
      <c r="I22" s="408" t="s">
        <v>101</v>
      </c>
      <c r="J22" s="151"/>
      <c r="K22" s="151"/>
      <c r="L22" s="151"/>
      <c r="M22" s="151"/>
      <c r="N22" s="151"/>
      <c r="O22" s="151"/>
    </row>
    <row r="23" spans="2:30" ht="15" thickBot="1" x14ac:dyDescent="0.4">
      <c r="B23" s="552" t="s">
        <v>52</v>
      </c>
      <c r="C23" s="553"/>
      <c r="D23" s="542">
        <f>SUM(D22)</f>
        <v>0</v>
      </c>
      <c r="E23" s="543">
        <f t="shared" ref="E23:I23" si="2">SUM(E22)</f>
        <v>0</v>
      </c>
      <c r="F23" s="544">
        <f t="shared" si="2"/>
        <v>0</v>
      </c>
      <c r="G23" s="545">
        <f t="shared" si="2"/>
        <v>0</v>
      </c>
      <c r="H23" s="546">
        <f t="shared" si="2"/>
        <v>0</v>
      </c>
      <c r="I23" s="547">
        <f t="shared" si="2"/>
        <v>0</v>
      </c>
      <c r="J23" s="148"/>
      <c r="K23" s="149"/>
      <c r="L23" s="148"/>
      <c r="M23" s="148"/>
      <c r="N23" s="148"/>
      <c r="O23" s="148"/>
    </row>
    <row r="24" spans="2:30" ht="15" thickBot="1" x14ac:dyDescent="0.4">
      <c r="B24" s="391"/>
      <c r="C24" s="392"/>
      <c r="D24" s="393"/>
      <c r="E24" s="394"/>
      <c r="F24" s="395"/>
      <c r="G24" s="396"/>
      <c r="H24" s="406"/>
      <c r="I24" s="407"/>
      <c r="J24" s="148"/>
      <c r="K24" s="149"/>
      <c r="L24" s="148"/>
      <c r="M24" s="148"/>
      <c r="N24" s="148"/>
      <c r="O24" s="148"/>
    </row>
    <row r="25" spans="2:30" ht="15" thickBot="1" x14ac:dyDescent="0.4">
      <c r="B25" s="552" t="s">
        <v>53</v>
      </c>
      <c r="C25" s="553"/>
      <c r="D25" s="536">
        <f t="shared" ref="D25:I25" si="3">SUM(D23,D19,D15)</f>
        <v>6897</v>
      </c>
      <c r="E25" s="536">
        <f t="shared" si="3"/>
        <v>45079</v>
      </c>
      <c r="F25" s="544">
        <f t="shared" si="3"/>
        <v>193.77732000000003</v>
      </c>
      <c r="G25" s="545">
        <f t="shared" si="3"/>
        <v>457.62335000000007</v>
      </c>
      <c r="H25" s="546">
        <f t="shared" si="3"/>
        <v>2520.7269999999999</v>
      </c>
      <c r="I25" s="547">
        <f t="shared" si="3"/>
        <v>8140.1509999999998</v>
      </c>
      <c r="J25" s="93"/>
      <c r="K25" s="95"/>
      <c r="L25" s="93"/>
      <c r="M25" s="93"/>
      <c r="N25" s="96"/>
      <c r="O25" s="96"/>
      <c r="P25" s="93"/>
      <c r="Q25" s="93"/>
      <c r="R25" s="93"/>
      <c r="S25" s="93"/>
      <c r="T25" s="93"/>
      <c r="U25" s="93"/>
      <c r="V25" s="93"/>
      <c r="W25" s="93"/>
      <c r="X25" s="93"/>
      <c r="Y25" s="93"/>
      <c r="Z25" s="93"/>
      <c r="AA25" s="93"/>
      <c r="AB25" s="93"/>
      <c r="AC25" s="93"/>
      <c r="AD25" s="93"/>
    </row>
    <row r="26" spans="2:30" ht="15" thickBot="1" x14ac:dyDescent="0.4">
      <c r="B26" s="826" t="s">
        <v>54</v>
      </c>
      <c r="C26" s="827"/>
      <c r="D26" s="828"/>
      <c r="E26" s="829"/>
      <c r="F26" s="830">
        <v>0</v>
      </c>
      <c r="G26" s="831">
        <v>0</v>
      </c>
      <c r="H26" s="832"/>
      <c r="I26" s="833"/>
    </row>
    <row r="27" spans="2:30" ht="16.5" x14ac:dyDescent="0.35">
      <c r="B27" s="834" t="s">
        <v>175</v>
      </c>
      <c r="C27" s="835"/>
      <c r="D27" s="835"/>
      <c r="E27" s="835"/>
      <c r="F27" s="835"/>
      <c r="G27" s="835"/>
      <c r="H27" s="835"/>
      <c r="I27" s="835"/>
    </row>
  </sheetData>
  <mergeCells count="9">
    <mergeCell ref="B11:B13"/>
    <mergeCell ref="B17:B18"/>
    <mergeCell ref="D4:E4"/>
    <mergeCell ref="F4:G4"/>
    <mergeCell ref="H4:I4"/>
    <mergeCell ref="D6:E6"/>
    <mergeCell ref="F6:G6"/>
    <mergeCell ref="H6:I6"/>
    <mergeCell ref="B8:B10"/>
  </mergeCells>
  <pageMargins left="0.25" right="0.25" top="0.75" bottom="0.75" header="0.3" footer="0.3"/>
  <pageSetup scale="10" fitToHeight="0" orientation="landscape" r:id="rId1"/>
  <headerFooter>
    <oddHeader>&amp;CACE Q1 of Program Year 2022 LMI Reporting Table</oddHeader>
    <oddFooter>&amp;C&amp;N&amp;R&amp;D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26"/>
  <sheetViews>
    <sheetView workbookViewId="0">
      <selection activeCell="C3" sqref="C3"/>
    </sheetView>
  </sheetViews>
  <sheetFormatPr defaultColWidth="9.453125" defaultRowHeight="14.5" x14ac:dyDescent="0.35"/>
  <cols>
    <col min="1" max="1" width="4.453125" customWidth="1"/>
    <col min="2" max="2" width="22.26953125" customWidth="1"/>
    <col min="3" max="3" width="35" customWidth="1"/>
    <col min="4" max="8" width="13.453125" customWidth="1"/>
    <col min="9" max="9" width="14.453125" customWidth="1"/>
    <col min="10" max="10" width="16.453125" customWidth="1"/>
    <col min="11" max="11" width="16.453125" style="5" customWidth="1"/>
    <col min="12" max="13" width="16.453125" customWidth="1"/>
    <col min="14" max="15" width="16.453125" style="2" customWidth="1"/>
    <col min="16" max="17" width="16.453125" customWidth="1"/>
    <col min="20" max="20" width="9.453125" customWidth="1"/>
    <col min="22" max="22" width="48.26953125" bestFit="1" customWidth="1"/>
    <col min="23" max="25" width="9.453125" hidden="1" customWidth="1"/>
  </cols>
  <sheetData>
    <row r="1" spans="1:30" ht="15.5" x14ac:dyDescent="0.35">
      <c r="A1" s="652" t="s">
        <v>0</v>
      </c>
      <c r="K1" s="146"/>
      <c r="N1" s="145"/>
      <c r="O1" s="145"/>
    </row>
    <row r="2" spans="1:30" x14ac:dyDescent="0.35">
      <c r="K2" s="146"/>
      <c r="N2" s="145"/>
      <c r="O2" s="145"/>
    </row>
    <row r="3" spans="1:30" ht="19" thickBot="1" x14ac:dyDescent="0.5">
      <c r="A3" s="6"/>
      <c r="B3" s="6" t="str">
        <f>'Qtr Electric Master'!B3</f>
        <v>For Period Ending PY23 Q1</v>
      </c>
      <c r="C3" s="6"/>
      <c r="D3" s="6"/>
      <c r="E3" s="6"/>
      <c r="F3" s="6"/>
      <c r="G3" s="6"/>
      <c r="H3" s="6"/>
      <c r="K3" s="156"/>
      <c r="N3" s="145"/>
      <c r="O3" s="145"/>
    </row>
    <row r="4" spans="1:30" ht="43.5" customHeight="1" thickBot="1" x14ac:dyDescent="0.4">
      <c r="A4" t="s">
        <v>2</v>
      </c>
      <c r="B4" s="930"/>
      <c r="C4" s="427"/>
      <c r="D4" s="979" t="s">
        <v>7</v>
      </c>
      <c r="E4" s="980"/>
      <c r="F4" s="981" t="s">
        <v>165</v>
      </c>
      <c r="G4" s="982"/>
      <c r="H4" s="983" t="s">
        <v>57</v>
      </c>
      <c r="I4" s="984"/>
      <c r="J4" s="993"/>
      <c r="K4" s="994"/>
      <c r="L4" s="994"/>
      <c r="M4" s="994"/>
      <c r="N4" s="994"/>
      <c r="O4" s="994"/>
    </row>
    <row r="5" spans="1:30" ht="21" customHeight="1" thickBot="1" x14ac:dyDescent="0.4">
      <c r="B5" s="428"/>
      <c r="C5" s="429"/>
      <c r="D5" s="430" t="s">
        <v>10</v>
      </c>
      <c r="E5" s="431" t="s">
        <v>11</v>
      </c>
      <c r="F5" s="432" t="s">
        <v>12</v>
      </c>
      <c r="G5" s="433" t="s">
        <v>13</v>
      </c>
      <c r="H5" s="434" t="s">
        <v>14</v>
      </c>
      <c r="I5" s="495" t="s">
        <v>15</v>
      </c>
      <c r="J5" s="434" t="s">
        <v>60</v>
      </c>
      <c r="K5" s="496" t="s">
        <v>176</v>
      </c>
      <c r="L5" s="496" t="s">
        <v>17</v>
      </c>
      <c r="M5" s="431" t="s">
        <v>62</v>
      </c>
      <c r="N5" s="496" t="s">
        <v>17</v>
      </c>
      <c r="O5" s="431" t="s">
        <v>62</v>
      </c>
    </row>
    <row r="6" spans="1:30" ht="52.5" customHeight="1" thickBot="1" x14ac:dyDescent="0.4">
      <c r="B6" s="435"/>
      <c r="C6" s="436"/>
      <c r="D6" s="985" t="s">
        <v>73</v>
      </c>
      <c r="E6" s="986"/>
      <c r="F6" s="987" t="s">
        <v>166</v>
      </c>
      <c r="G6" s="988"/>
      <c r="H6" s="989" t="s">
        <v>81</v>
      </c>
      <c r="I6" s="990"/>
      <c r="J6" s="991" t="s">
        <v>177</v>
      </c>
      <c r="K6" s="992"/>
      <c r="L6" s="991" t="s">
        <v>86</v>
      </c>
      <c r="M6" s="992"/>
      <c r="N6" s="991" t="s">
        <v>178</v>
      </c>
      <c r="O6" s="992"/>
      <c r="T6" s="518" t="s">
        <v>90</v>
      </c>
      <c r="U6" s="518" t="s">
        <v>91</v>
      </c>
      <c r="V6" s="518" t="s">
        <v>92</v>
      </c>
      <c r="W6" s="519" t="s">
        <v>93</v>
      </c>
      <c r="X6" s="519" t="s">
        <v>94</v>
      </c>
      <c r="Y6" s="519" t="s">
        <v>95</v>
      </c>
      <c r="Z6" s="519" t="s">
        <v>93</v>
      </c>
      <c r="AA6" s="519" t="s">
        <v>94</v>
      </c>
      <c r="AB6" s="519" t="s">
        <v>95</v>
      </c>
    </row>
    <row r="7" spans="1:30" ht="28.5" thickBot="1" x14ac:dyDescent="0.4">
      <c r="B7" s="437" t="s">
        <v>41</v>
      </c>
      <c r="C7" s="438" t="s">
        <v>124</v>
      </c>
      <c r="D7" s="439" t="s">
        <v>179</v>
      </c>
      <c r="E7" s="440" t="s">
        <v>180</v>
      </c>
      <c r="F7" s="439" t="s">
        <v>179</v>
      </c>
      <c r="G7" s="440" t="s">
        <v>180</v>
      </c>
      <c r="H7" s="439" t="s">
        <v>179</v>
      </c>
      <c r="I7" s="440" t="s">
        <v>180</v>
      </c>
      <c r="J7" s="439" t="s">
        <v>179</v>
      </c>
      <c r="K7" s="440" t="s">
        <v>180</v>
      </c>
      <c r="L7" s="439" t="s">
        <v>179</v>
      </c>
      <c r="M7" s="440" t="s">
        <v>180</v>
      </c>
      <c r="N7" s="439" t="s">
        <v>179</v>
      </c>
      <c r="O7" s="440" t="s">
        <v>180</v>
      </c>
      <c r="P7" s="339"/>
      <c r="T7" s="520">
        <v>6</v>
      </c>
      <c r="U7" s="520" t="s">
        <v>109</v>
      </c>
      <c r="V7" s="520" t="s">
        <v>110</v>
      </c>
      <c r="W7" s="521">
        <v>0.115</v>
      </c>
      <c r="X7" s="521">
        <v>0.13400000000000001</v>
      </c>
      <c r="Y7" s="521">
        <v>1.4999999999999999E-2</v>
      </c>
      <c r="Z7" s="522">
        <f t="shared" ref="Z7:Z12" si="0">(W7+1)</f>
        <v>1.115</v>
      </c>
      <c r="AA7" s="522">
        <f t="shared" ref="AA7:AB12" si="1">(X7+1)</f>
        <v>1.1339999999999999</v>
      </c>
      <c r="AB7" s="522">
        <f t="shared" si="1"/>
        <v>1.0149999999999999</v>
      </c>
    </row>
    <row r="8" spans="1:30" ht="15" thickBot="1" x14ac:dyDescent="0.4">
      <c r="B8" s="441" t="s">
        <v>42</v>
      </c>
      <c r="C8" s="441" t="s">
        <v>43</v>
      </c>
      <c r="D8" s="644">
        <v>0</v>
      </c>
      <c r="E8" s="426" t="s">
        <v>101</v>
      </c>
      <c r="F8" s="759">
        <v>0</v>
      </c>
      <c r="G8" s="760" t="s">
        <v>101</v>
      </c>
      <c r="H8" s="761">
        <v>0</v>
      </c>
      <c r="I8" s="762" t="s">
        <v>101</v>
      </c>
      <c r="J8" s="644">
        <v>0</v>
      </c>
      <c r="K8" s="426" t="s">
        <v>101</v>
      </c>
      <c r="L8" s="644">
        <v>0</v>
      </c>
      <c r="M8" s="426" t="s">
        <v>101</v>
      </c>
      <c r="N8" s="633">
        <f>L8*$Z$10</f>
        <v>0</v>
      </c>
      <c r="O8" s="632" t="s">
        <v>101</v>
      </c>
      <c r="T8" s="520">
        <v>7</v>
      </c>
      <c r="U8" s="520" t="s">
        <v>112</v>
      </c>
      <c r="V8" s="520" t="s">
        <v>113</v>
      </c>
      <c r="W8" s="521">
        <v>9.0999999999999998E-2</v>
      </c>
      <c r="X8" s="521">
        <v>0.113</v>
      </c>
      <c r="Y8" s="521">
        <v>1.4999999999999999E-2</v>
      </c>
      <c r="Z8" s="522">
        <f t="shared" si="0"/>
        <v>1.091</v>
      </c>
      <c r="AA8" s="522">
        <f t="shared" si="1"/>
        <v>1.113</v>
      </c>
      <c r="AB8" s="522">
        <f t="shared" si="1"/>
        <v>1.0149999999999999</v>
      </c>
    </row>
    <row r="9" spans="1:30" x14ac:dyDescent="0.35">
      <c r="B9" s="995" t="s">
        <v>44</v>
      </c>
      <c r="C9" s="442" t="s">
        <v>45</v>
      </c>
      <c r="D9" s="763">
        <v>57</v>
      </c>
      <c r="E9" s="637">
        <v>14</v>
      </c>
      <c r="F9" s="764">
        <f>169307/1000</f>
        <v>169.30699999999999</v>
      </c>
      <c r="G9" s="765">
        <f>371102.8/1000</f>
        <v>371.1028</v>
      </c>
      <c r="H9" s="766">
        <v>1043.21</v>
      </c>
      <c r="I9" s="767">
        <v>2493.9899999999998</v>
      </c>
      <c r="J9" s="754">
        <v>15596</v>
      </c>
      <c r="K9" s="756">
        <v>36639</v>
      </c>
      <c r="L9" s="754">
        <v>15596</v>
      </c>
      <c r="M9" s="756">
        <v>36639</v>
      </c>
      <c r="N9" s="634">
        <f>J9*$Z$8</f>
        <v>17015.236000000001</v>
      </c>
      <c r="O9" s="634">
        <f>K9*$Z$8</f>
        <v>39973.148999999998</v>
      </c>
      <c r="T9" s="520">
        <v>8</v>
      </c>
      <c r="U9" s="520" t="s">
        <v>112</v>
      </c>
      <c r="V9" s="520" t="s">
        <v>115</v>
      </c>
      <c r="W9" s="521">
        <v>6.9000000000000006E-2</v>
      </c>
      <c r="X9" s="521">
        <v>8.6999999999999994E-2</v>
      </c>
      <c r="Y9" s="521">
        <v>1.4999999999999999E-2</v>
      </c>
      <c r="Z9" s="522">
        <f t="shared" si="0"/>
        <v>1.069</v>
      </c>
      <c r="AA9" s="522">
        <f t="shared" si="1"/>
        <v>1.087</v>
      </c>
      <c r="AB9" s="522">
        <f t="shared" si="1"/>
        <v>1.0149999999999999</v>
      </c>
    </row>
    <row r="10" spans="1:30" x14ac:dyDescent="0.35">
      <c r="B10" s="996"/>
      <c r="C10" s="443" t="s">
        <v>46</v>
      </c>
      <c r="D10" s="768">
        <v>0</v>
      </c>
      <c r="E10" s="769">
        <v>0</v>
      </c>
      <c r="F10" s="770">
        <v>0</v>
      </c>
      <c r="G10" s="771">
        <v>0</v>
      </c>
      <c r="H10" s="772">
        <v>0</v>
      </c>
      <c r="I10" s="773">
        <v>0</v>
      </c>
      <c r="J10" s="755">
        <v>0</v>
      </c>
      <c r="K10" s="758">
        <v>0</v>
      </c>
      <c r="L10" s="755">
        <v>0</v>
      </c>
      <c r="M10" s="757">
        <v>0</v>
      </c>
      <c r="N10" s="635">
        <f>J10*$Z$11</f>
        <v>0</v>
      </c>
      <c r="O10" s="635">
        <f>K10*$Z$11</f>
        <v>0</v>
      </c>
      <c r="T10" s="520">
        <v>9</v>
      </c>
      <c r="U10" s="520" t="s">
        <v>112</v>
      </c>
      <c r="V10" s="520" t="s">
        <v>117</v>
      </c>
      <c r="W10" s="521">
        <v>9.9000000000000005E-2</v>
      </c>
      <c r="X10" s="521">
        <v>0.121</v>
      </c>
      <c r="Y10" s="521">
        <v>1.4999999999999999E-2</v>
      </c>
      <c r="Z10" s="522">
        <f t="shared" si="0"/>
        <v>1.099</v>
      </c>
      <c r="AA10" s="522">
        <f t="shared" si="1"/>
        <v>1.121</v>
      </c>
      <c r="AB10" s="522">
        <f t="shared" si="1"/>
        <v>1.0149999999999999</v>
      </c>
    </row>
    <row r="11" spans="1:30" ht="15" thickBot="1" x14ac:dyDescent="0.4">
      <c r="B11" s="997"/>
      <c r="C11" s="444" t="s">
        <v>47</v>
      </c>
      <c r="D11" s="774">
        <v>0</v>
      </c>
      <c r="E11" s="426">
        <v>0</v>
      </c>
      <c r="F11" s="645">
        <v>0</v>
      </c>
      <c r="G11" s="646">
        <v>0</v>
      </c>
      <c r="H11" s="761">
        <v>0</v>
      </c>
      <c r="I11" s="762">
        <v>0</v>
      </c>
      <c r="J11" s="647">
        <v>0</v>
      </c>
      <c r="K11" s="648">
        <v>0</v>
      </c>
      <c r="L11" s="647">
        <v>0</v>
      </c>
      <c r="M11" s="649">
        <v>0</v>
      </c>
      <c r="N11" s="635">
        <f>J11*$Z$9</f>
        <v>0</v>
      </c>
      <c r="O11" s="635">
        <f>K11*$Z$9</f>
        <v>0</v>
      </c>
      <c r="T11" s="520">
        <v>10</v>
      </c>
      <c r="U11" s="520" t="s">
        <v>112</v>
      </c>
      <c r="V11" s="520" t="s">
        <v>120</v>
      </c>
      <c r="W11" s="521">
        <v>7.6999999999999999E-2</v>
      </c>
      <c r="X11" s="521">
        <v>9.1999999999999998E-2</v>
      </c>
      <c r="Y11" s="521">
        <v>1.4999999999999999E-2</v>
      </c>
      <c r="Z11" s="522">
        <f t="shared" si="0"/>
        <v>1.077</v>
      </c>
      <c r="AA11" s="522">
        <f t="shared" si="1"/>
        <v>1.0920000000000001</v>
      </c>
      <c r="AB11" s="522">
        <f t="shared" si="1"/>
        <v>1.0149999999999999</v>
      </c>
    </row>
    <row r="12" spans="1:30" s="93" customFormat="1" ht="15" thickBot="1" x14ac:dyDescent="0.4">
      <c r="B12" s="445" t="s">
        <v>48</v>
      </c>
      <c r="C12" s="446"/>
      <c r="D12" s="469">
        <f t="shared" ref="D12:N12" si="2">SUM(D8:D11)</f>
        <v>57</v>
      </c>
      <c r="E12" s="470">
        <f t="shared" si="2"/>
        <v>14</v>
      </c>
      <c r="F12" s="471">
        <f t="shared" si="2"/>
        <v>169.30699999999999</v>
      </c>
      <c r="G12" s="472">
        <f t="shared" si="2"/>
        <v>371.1028</v>
      </c>
      <c r="H12" s="512">
        <f t="shared" si="2"/>
        <v>1043.21</v>
      </c>
      <c r="I12" s="513">
        <f t="shared" si="2"/>
        <v>2493.9899999999998</v>
      </c>
      <c r="J12" s="473">
        <f t="shared" si="2"/>
        <v>15596</v>
      </c>
      <c r="K12" s="474">
        <f t="shared" si="2"/>
        <v>36639</v>
      </c>
      <c r="L12" s="473">
        <f t="shared" si="2"/>
        <v>15596</v>
      </c>
      <c r="M12" s="474">
        <f t="shared" si="2"/>
        <v>36639</v>
      </c>
      <c r="N12" s="473">
        <f t="shared" si="2"/>
        <v>17015.236000000001</v>
      </c>
      <c r="O12" s="474">
        <f t="shared" ref="O12" si="3">SUM(O8:O11)</f>
        <v>39973.148999999998</v>
      </c>
      <c r="P12"/>
      <c r="Q12"/>
      <c r="R12"/>
      <c r="S12"/>
      <c r="T12" s="520">
        <v>11</v>
      </c>
      <c r="U12" s="520" t="s">
        <v>121</v>
      </c>
      <c r="V12" s="520" t="s">
        <v>122</v>
      </c>
      <c r="W12" s="521">
        <v>0.115</v>
      </c>
      <c r="X12" s="521">
        <v>0.13400000000000001</v>
      </c>
      <c r="Y12" s="521">
        <v>1.4999999999999999E-2</v>
      </c>
      <c r="Z12" s="522">
        <f t="shared" si="0"/>
        <v>1.115</v>
      </c>
      <c r="AA12" s="522">
        <f t="shared" si="1"/>
        <v>1.1339999999999999</v>
      </c>
      <c r="AB12" s="522">
        <f t="shared" si="1"/>
        <v>1.0149999999999999</v>
      </c>
      <c r="AC12"/>
      <c r="AD12"/>
    </row>
    <row r="13" spans="1:30" ht="15" thickBot="1" x14ac:dyDescent="0.4">
      <c r="B13" s="447"/>
      <c r="C13" s="448"/>
      <c r="D13" s="447"/>
      <c r="E13" s="475"/>
      <c r="F13" s="451"/>
      <c r="G13" s="452"/>
      <c r="H13" s="447"/>
      <c r="I13" s="475"/>
      <c r="J13" s="449"/>
      <c r="K13" s="450"/>
      <c r="L13" s="449"/>
      <c r="M13" s="450"/>
      <c r="N13" s="449"/>
      <c r="O13" s="450"/>
    </row>
    <row r="14" spans="1:30" x14ac:dyDescent="0.35">
      <c r="B14" s="977" t="s">
        <v>110</v>
      </c>
      <c r="C14" s="660" t="s">
        <v>45</v>
      </c>
      <c r="D14" s="636">
        <v>0</v>
      </c>
      <c r="E14" s="637">
        <v>0</v>
      </c>
      <c r="F14" s="638">
        <v>0</v>
      </c>
      <c r="G14" s="639">
        <v>0</v>
      </c>
      <c r="H14" s="636">
        <v>0</v>
      </c>
      <c r="I14" s="637">
        <v>0</v>
      </c>
      <c r="J14" s="640">
        <v>0</v>
      </c>
      <c r="K14" s="641">
        <v>0</v>
      </c>
      <c r="L14" s="640">
        <v>0</v>
      </c>
      <c r="M14" s="642">
        <v>0</v>
      </c>
      <c r="N14" s="643">
        <f>J14*$Z$7</f>
        <v>0</v>
      </c>
      <c r="O14" s="643">
        <f>K14*$Z$7</f>
        <v>0</v>
      </c>
      <c r="Q14" s="502"/>
    </row>
    <row r="15" spans="1:30" ht="15.75" customHeight="1" thickBot="1" x14ac:dyDescent="0.4">
      <c r="B15" s="978"/>
      <c r="C15" s="661" t="s">
        <v>47</v>
      </c>
      <c r="D15" s="644">
        <v>0</v>
      </c>
      <c r="E15" s="426">
        <v>0</v>
      </c>
      <c r="F15" s="645">
        <v>0</v>
      </c>
      <c r="G15" s="646">
        <v>0</v>
      </c>
      <c r="H15" s="644">
        <v>0</v>
      </c>
      <c r="I15" s="426">
        <v>0</v>
      </c>
      <c r="J15" s="647">
        <v>0</v>
      </c>
      <c r="K15" s="648">
        <v>0</v>
      </c>
      <c r="L15" s="647">
        <v>0</v>
      </c>
      <c r="M15" s="649">
        <v>0</v>
      </c>
      <c r="N15" s="643">
        <f>J15*$Z$7</f>
        <v>0</v>
      </c>
      <c r="O15" s="643">
        <f>K15*$Z$7</f>
        <v>0</v>
      </c>
    </row>
    <row r="16" spans="1:30" ht="15" thickBot="1" x14ac:dyDescent="0.4">
      <c r="B16" s="453" t="s">
        <v>50</v>
      </c>
      <c r="C16" s="454"/>
      <c r="D16" s="453"/>
      <c r="E16" s="476"/>
      <c r="F16" s="456"/>
      <c r="G16" s="457"/>
      <c r="H16" s="453"/>
      <c r="I16" s="458"/>
      <c r="J16" s="455"/>
      <c r="K16" s="458"/>
      <c r="L16" s="455"/>
      <c r="M16" s="458"/>
      <c r="N16" s="455"/>
      <c r="O16" s="458"/>
    </row>
    <row r="17" spans="2:15" ht="15" thickBot="1" x14ac:dyDescent="0.4">
      <c r="B17" s="459" t="s">
        <v>174</v>
      </c>
      <c r="C17" s="460"/>
      <c r="D17" s="477" t="s">
        <v>101</v>
      </c>
      <c r="E17" s="478" t="s">
        <v>101</v>
      </c>
      <c r="F17" s="479" t="s">
        <v>101</v>
      </c>
      <c r="G17" s="480" t="s">
        <v>101</v>
      </c>
      <c r="H17" s="477" t="s">
        <v>101</v>
      </c>
      <c r="I17" s="481" t="s">
        <v>101</v>
      </c>
      <c r="J17" s="482" t="s">
        <v>101</v>
      </c>
      <c r="K17" s="481" t="s">
        <v>101</v>
      </c>
      <c r="L17" s="482" t="s">
        <v>101</v>
      </c>
      <c r="M17" s="481" t="s">
        <v>101</v>
      </c>
      <c r="N17" s="482" t="s">
        <v>101</v>
      </c>
      <c r="O17" s="481" t="s">
        <v>101</v>
      </c>
    </row>
    <row r="18" spans="2:15" ht="15" thickBot="1" x14ac:dyDescent="0.4">
      <c r="B18" s="445" t="s">
        <v>52</v>
      </c>
      <c r="C18" s="446"/>
      <c r="D18" s="469">
        <f>SUM(D17)</f>
        <v>0</v>
      </c>
      <c r="E18" s="470">
        <f t="shared" ref="E18:O18" si="4">SUM(E17)</f>
        <v>0</v>
      </c>
      <c r="F18" s="471">
        <f t="shared" si="4"/>
        <v>0</v>
      </c>
      <c r="G18" s="472">
        <f t="shared" si="4"/>
        <v>0</v>
      </c>
      <c r="H18" s="469">
        <f t="shared" si="4"/>
        <v>0</v>
      </c>
      <c r="I18" s="474">
        <f t="shared" si="4"/>
        <v>0</v>
      </c>
      <c r="J18" s="473">
        <f t="shared" si="4"/>
        <v>0</v>
      </c>
      <c r="K18" s="474">
        <f t="shared" si="4"/>
        <v>0</v>
      </c>
      <c r="L18" s="473">
        <f t="shared" si="4"/>
        <v>0</v>
      </c>
      <c r="M18" s="474">
        <f t="shared" si="4"/>
        <v>0</v>
      </c>
      <c r="N18" s="473">
        <f t="shared" si="4"/>
        <v>0</v>
      </c>
      <c r="O18" s="474">
        <f t="shared" si="4"/>
        <v>0</v>
      </c>
    </row>
    <row r="19" spans="2:15" x14ac:dyDescent="0.35">
      <c r="B19" s="461"/>
      <c r="C19" s="462"/>
      <c r="D19" s="461"/>
      <c r="E19" s="483"/>
      <c r="F19" s="465"/>
      <c r="G19" s="466"/>
      <c r="H19" s="461"/>
      <c r="I19" s="483"/>
      <c r="J19" s="463"/>
      <c r="K19" s="464"/>
      <c r="L19" s="463"/>
      <c r="M19" s="464"/>
      <c r="N19" s="463"/>
      <c r="O19" s="464"/>
    </row>
    <row r="20" spans="2:15" ht="15" thickBot="1" x14ac:dyDescent="0.4">
      <c r="B20" s="467" t="s">
        <v>53</v>
      </c>
      <c r="C20" s="468"/>
      <c r="D20" s="484">
        <f>SUM(D18,D14:D15,D12)</f>
        <v>57</v>
      </c>
      <c r="E20" s="485">
        <f t="shared" ref="E20:O20" si="5">SUM(E18,E14:E15,E12)</f>
        <v>14</v>
      </c>
      <c r="F20" s="486">
        <f t="shared" si="5"/>
        <v>169.30699999999999</v>
      </c>
      <c r="G20" s="487">
        <f t="shared" si="5"/>
        <v>371.1028</v>
      </c>
      <c r="H20" s="514">
        <f t="shared" si="5"/>
        <v>1043.21</v>
      </c>
      <c r="I20" s="515">
        <f t="shared" si="5"/>
        <v>2493.9899999999998</v>
      </c>
      <c r="J20" s="488">
        <f>SUM(J18,J14:J15,J12)</f>
        <v>15596</v>
      </c>
      <c r="K20" s="474">
        <f t="shared" si="5"/>
        <v>36639</v>
      </c>
      <c r="L20" s="488">
        <f>SUM(L18,L14:L15,L12)</f>
        <v>15596</v>
      </c>
      <c r="M20" s="474">
        <f t="shared" ref="M20" si="6">SUM(M18,M14:M15,M12)</f>
        <v>36639</v>
      </c>
      <c r="N20" s="488">
        <f t="shared" si="5"/>
        <v>17015.236000000001</v>
      </c>
      <c r="O20" s="474">
        <f t="shared" si="5"/>
        <v>39973.148999999998</v>
      </c>
    </row>
    <row r="21" spans="2:15" ht="15" thickBot="1" x14ac:dyDescent="0.4">
      <c r="B21" s="445" t="s">
        <v>54</v>
      </c>
      <c r="C21" s="489"/>
      <c r="D21" s="490"/>
      <c r="E21" s="491"/>
      <c r="F21" s="473">
        <v>0</v>
      </c>
      <c r="G21" s="474">
        <v>0</v>
      </c>
      <c r="H21" s="490"/>
      <c r="I21" s="491"/>
      <c r="J21" s="490"/>
      <c r="K21" s="491"/>
      <c r="L21" s="490"/>
      <c r="M21" s="491"/>
      <c r="N21" s="490"/>
      <c r="O21" s="491"/>
    </row>
    <row r="22" spans="2:15" x14ac:dyDescent="0.35">
      <c r="B22" s="492"/>
      <c r="C22" s="492"/>
      <c r="D22" s="492"/>
      <c r="E22" s="492"/>
      <c r="F22" s="492"/>
      <c r="G22" s="492"/>
      <c r="H22" s="492"/>
      <c r="I22" s="492"/>
      <c r="J22" s="492"/>
      <c r="K22" s="493"/>
      <c r="L22" s="492"/>
      <c r="M22" s="492"/>
      <c r="N22" s="494"/>
      <c r="O22" s="494"/>
    </row>
    <row r="26" spans="2:15" x14ac:dyDescent="0.35">
      <c r="B26" s="339"/>
    </row>
  </sheetData>
  <mergeCells count="12">
    <mergeCell ref="L6:M6"/>
    <mergeCell ref="J4:O4"/>
    <mergeCell ref="J6:K6"/>
    <mergeCell ref="N6:O6"/>
    <mergeCell ref="B9:B11"/>
    <mergeCell ref="B14:B15"/>
    <mergeCell ref="D4:E4"/>
    <mergeCell ref="F4:G4"/>
    <mergeCell ref="H4:I4"/>
    <mergeCell ref="D6:E6"/>
    <mergeCell ref="F6:G6"/>
    <mergeCell ref="H6:I6"/>
  </mergeCells>
  <pageMargins left="0.25" right="0.25" top="0.75" bottom="0.75" header="0.3" footer="0.3"/>
  <pageSetup scale="10" fitToHeight="0" orientation="landscape" r:id="rId1"/>
  <headerFooter>
    <oddHeader>&amp;CACE Q1 of Program Year 2022 Small Business Reporting Table</oddHeader>
    <oddFooter>&amp;C&amp;N&amp;R&amp;D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4659260841701"/>
    <pageSetUpPr fitToPage="1"/>
  </sheetPr>
  <dimension ref="A1:S64"/>
  <sheetViews>
    <sheetView workbookViewId="0"/>
  </sheetViews>
  <sheetFormatPr defaultColWidth="8.7265625" defaultRowHeight="14.5" x14ac:dyDescent="0.35"/>
  <cols>
    <col min="1" max="1" width="47" customWidth="1"/>
    <col min="2" max="5" width="16.453125" customWidth="1"/>
    <col min="6" max="6" width="19.26953125" customWidth="1"/>
    <col min="7" max="7" width="33.26953125" customWidth="1"/>
    <col min="8" max="8" width="11.453125" customWidth="1"/>
    <col min="9" max="9" width="15.453125" customWidth="1"/>
    <col min="10" max="19" width="11.453125" customWidth="1"/>
  </cols>
  <sheetData>
    <row r="1" spans="1:10" x14ac:dyDescent="0.35">
      <c r="G1" t="s">
        <v>181</v>
      </c>
    </row>
    <row r="2" spans="1:10" ht="59.25" customHeight="1" x14ac:dyDescent="0.35">
      <c r="A2" s="259"/>
      <c r="B2" s="259" t="s">
        <v>182</v>
      </c>
      <c r="C2" s="143" t="s">
        <v>183</v>
      </c>
      <c r="D2" s="143" t="s">
        <v>184</v>
      </c>
      <c r="E2" s="313" t="s">
        <v>185</v>
      </c>
      <c r="F2" s="306" t="s">
        <v>186</v>
      </c>
      <c r="G2" s="327"/>
    </row>
    <row r="3" spans="1:10" x14ac:dyDescent="0.35">
      <c r="A3" s="304" t="s">
        <v>187</v>
      </c>
      <c r="B3" s="304"/>
      <c r="C3" s="330">
        <v>9834156</v>
      </c>
      <c r="D3" s="336"/>
      <c r="E3" s="331">
        <v>33017</v>
      </c>
      <c r="F3" s="320"/>
      <c r="G3" s="328"/>
      <c r="H3" s="329"/>
    </row>
    <row r="4" spans="1:10" x14ac:dyDescent="0.35">
      <c r="A4" s="304" t="s">
        <v>131</v>
      </c>
      <c r="B4" s="304"/>
      <c r="C4" s="304"/>
      <c r="D4" s="336"/>
      <c r="E4" s="334"/>
      <c r="F4" s="335"/>
      <c r="G4" s="318"/>
      <c r="H4" s="318"/>
    </row>
    <row r="5" spans="1:10" x14ac:dyDescent="0.35">
      <c r="A5" s="304" t="s">
        <v>188</v>
      </c>
      <c r="B5" s="326"/>
      <c r="C5" s="304"/>
      <c r="D5" s="336"/>
      <c r="E5" s="334"/>
      <c r="F5" s="335"/>
      <c r="G5" s="318"/>
      <c r="H5" s="318"/>
    </row>
    <row r="6" spans="1:10" x14ac:dyDescent="0.35">
      <c r="A6" s="304"/>
      <c r="B6" s="304"/>
      <c r="C6" s="304"/>
      <c r="D6" s="336"/>
      <c r="E6" s="334"/>
      <c r="F6" s="335"/>
      <c r="G6" s="318"/>
      <c r="H6" s="318"/>
    </row>
    <row r="7" spans="1:10" x14ac:dyDescent="0.35">
      <c r="A7" s="321" t="s">
        <v>189</v>
      </c>
      <c r="B7" s="324">
        <f>SUM(B3+B4+B5)</f>
        <v>0</v>
      </c>
      <c r="C7" s="322">
        <f t="shared" ref="C7" si="0">SUM(C3+C4+C5)</f>
        <v>9834156</v>
      </c>
      <c r="D7" s="336" t="e">
        <f>SUM(C7/B7)</f>
        <v>#DIV/0!</v>
      </c>
      <c r="E7" s="333">
        <v>33017</v>
      </c>
      <c r="F7" s="337" t="e">
        <f>SUM(D7/E7)</f>
        <v>#DIV/0!</v>
      </c>
      <c r="G7" s="318"/>
      <c r="H7" s="318"/>
    </row>
    <row r="8" spans="1:10" x14ac:dyDescent="0.35">
      <c r="G8" t="s">
        <v>190</v>
      </c>
    </row>
    <row r="9" spans="1:10" x14ac:dyDescent="0.35">
      <c r="A9" s="305" t="s">
        <v>191</v>
      </c>
      <c r="G9" s="305" t="s">
        <v>192</v>
      </c>
    </row>
    <row r="10" spans="1:10" ht="24" x14ac:dyDescent="0.35">
      <c r="A10" s="259" t="s">
        <v>193</v>
      </c>
      <c r="B10" s="259" t="s">
        <v>194</v>
      </c>
      <c r="C10" s="143" t="s">
        <v>195</v>
      </c>
      <c r="D10" s="143" t="s">
        <v>137</v>
      </c>
      <c r="E10" s="313" t="s">
        <v>138</v>
      </c>
      <c r="G10" s="305" t="s">
        <v>187</v>
      </c>
      <c r="H10" s="301"/>
      <c r="I10" t="s">
        <v>196</v>
      </c>
    </row>
    <row r="11" spans="1:10" x14ac:dyDescent="0.35">
      <c r="A11" s="304" t="s">
        <v>139</v>
      </c>
      <c r="B11" s="317"/>
      <c r="C11" s="317"/>
      <c r="D11" s="317"/>
      <c r="E11" s="316"/>
      <c r="G11" t="s">
        <v>197</v>
      </c>
      <c r="H11" s="301"/>
      <c r="I11" t="s">
        <v>198</v>
      </c>
    </row>
    <row r="12" spans="1:10" x14ac:dyDescent="0.35">
      <c r="A12" s="304" t="s">
        <v>49</v>
      </c>
      <c r="B12" s="317"/>
      <c r="C12" s="317"/>
      <c r="D12" s="317"/>
      <c r="E12" s="316"/>
      <c r="G12" s="305" t="s">
        <v>188</v>
      </c>
      <c r="H12" s="325"/>
      <c r="I12" t="s">
        <v>199</v>
      </c>
    </row>
    <row r="13" spans="1:10" x14ac:dyDescent="0.35">
      <c r="A13" s="304" t="s">
        <v>112</v>
      </c>
      <c r="B13" s="317"/>
      <c r="C13" s="317"/>
      <c r="D13" s="317"/>
      <c r="E13" s="316"/>
      <c r="G13" s="305" t="s">
        <v>200</v>
      </c>
      <c r="H13" s="301"/>
      <c r="I13" t="s">
        <v>201</v>
      </c>
    </row>
    <row r="14" spans="1:10" x14ac:dyDescent="0.35">
      <c r="A14" s="312" t="s">
        <v>140</v>
      </c>
      <c r="B14" s="315"/>
      <c r="C14" s="315"/>
      <c r="D14" s="315"/>
      <c r="E14" s="314"/>
      <c r="G14" s="305" t="s">
        <v>202</v>
      </c>
      <c r="H14" s="323"/>
      <c r="I14" t="s">
        <v>203</v>
      </c>
      <c r="J14" t="s">
        <v>204</v>
      </c>
    </row>
    <row r="15" spans="1:10" x14ac:dyDescent="0.35">
      <c r="A15" s="304" t="s">
        <v>131</v>
      </c>
      <c r="B15" s="317"/>
      <c r="C15" s="317">
        <v>1000</v>
      </c>
      <c r="D15" s="317"/>
      <c r="E15" s="316"/>
      <c r="G15" s="305" t="s">
        <v>205</v>
      </c>
      <c r="H15" s="301"/>
      <c r="I15" t="s">
        <v>206</v>
      </c>
    </row>
    <row r="16" spans="1:10" x14ac:dyDescent="0.35">
      <c r="A16" s="312" t="s">
        <v>141</v>
      </c>
      <c r="B16" s="315"/>
      <c r="C16" s="315"/>
      <c r="D16" s="315"/>
      <c r="E16" s="314"/>
      <c r="G16" s="305" t="s">
        <v>207</v>
      </c>
      <c r="H16" s="332"/>
      <c r="I16" t="s">
        <v>208</v>
      </c>
      <c r="J16" t="s">
        <v>209</v>
      </c>
    </row>
    <row r="18" spans="1:7" x14ac:dyDescent="0.35">
      <c r="A18" t="s">
        <v>210</v>
      </c>
      <c r="G18" s="305" t="s">
        <v>211</v>
      </c>
    </row>
    <row r="19" spans="1:7" ht="29" x14ac:dyDescent="0.35">
      <c r="A19" s="259" t="s">
        <v>212</v>
      </c>
      <c r="B19" s="259" t="s">
        <v>213</v>
      </c>
      <c r="C19" s="143" t="s">
        <v>214</v>
      </c>
      <c r="D19" s="143" t="s">
        <v>142</v>
      </c>
      <c r="E19" s="313" t="s">
        <v>143</v>
      </c>
      <c r="G19" s="305" t="s">
        <v>215</v>
      </c>
    </row>
    <row r="20" spans="1:7" x14ac:dyDescent="0.35">
      <c r="A20" s="304" t="s">
        <v>139</v>
      </c>
      <c r="B20" s="303"/>
      <c r="C20" s="303"/>
      <c r="D20" s="303"/>
      <c r="E20" s="316"/>
      <c r="G20" s="305" t="s">
        <v>216</v>
      </c>
    </row>
    <row r="21" spans="1:7" x14ac:dyDescent="0.35">
      <c r="A21" s="304" t="s">
        <v>49</v>
      </c>
      <c r="B21" s="303"/>
      <c r="C21" s="303"/>
      <c r="D21" s="303"/>
      <c r="E21" s="316"/>
    </row>
    <row r="22" spans="1:7" x14ac:dyDescent="0.35">
      <c r="A22" s="304" t="s">
        <v>112</v>
      </c>
      <c r="B22" s="303"/>
      <c r="C22" s="303"/>
      <c r="D22" s="303"/>
      <c r="E22" s="316"/>
    </row>
    <row r="23" spans="1:7" x14ac:dyDescent="0.35">
      <c r="A23" s="312" t="s">
        <v>140</v>
      </c>
      <c r="B23" s="311"/>
      <c r="C23" s="311"/>
      <c r="D23" s="311"/>
      <c r="E23" s="314"/>
    </row>
    <row r="24" spans="1:7" x14ac:dyDescent="0.35">
      <c r="A24" s="304" t="s">
        <v>131</v>
      </c>
      <c r="B24" s="303"/>
      <c r="C24" s="303">
        <v>5000</v>
      </c>
      <c r="D24" s="303">
        <v>10000</v>
      </c>
      <c r="E24" s="316"/>
    </row>
    <row r="25" spans="1:7" x14ac:dyDescent="0.35">
      <c r="A25" s="312" t="s">
        <v>141</v>
      </c>
      <c r="B25" s="311"/>
      <c r="C25" s="311"/>
      <c r="D25" s="311"/>
      <c r="E25" s="314"/>
    </row>
    <row r="27" spans="1:7" x14ac:dyDescent="0.35">
      <c r="A27" t="s">
        <v>217</v>
      </c>
    </row>
    <row r="28" spans="1:7" ht="24" x14ac:dyDescent="0.35">
      <c r="A28" s="259" t="s">
        <v>218</v>
      </c>
      <c r="B28" s="259" t="s">
        <v>219</v>
      </c>
      <c r="C28" s="143" t="s">
        <v>220</v>
      </c>
      <c r="D28" s="143" t="s">
        <v>221</v>
      </c>
      <c r="E28" s="313" t="s">
        <v>144</v>
      </c>
    </row>
    <row r="29" spans="1:7" x14ac:dyDescent="0.35">
      <c r="A29" s="304" t="s">
        <v>139</v>
      </c>
      <c r="B29" s="317"/>
      <c r="C29" s="317"/>
      <c r="D29" s="317"/>
      <c r="E29" s="316"/>
    </row>
    <row r="30" spans="1:7" x14ac:dyDescent="0.35">
      <c r="A30" s="304" t="s">
        <v>49</v>
      </c>
      <c r="B30" s="317"/>
      <c r="C30" s="317"/>
      <c r="D30" s="317"/>
      <c r="E30" s="316"/>
    </row>
    <row r="31" spans="1:7" x14ac:dyDescent="0.35">
      <c r="A31" s="304" t="s">
        <v>112</v>
      </c>
      <c r="B31" s="317"/>
      <c r="C31" s="317"/>
      <c r="D31" s="317"/>
      <c r="E31" s="316"/>
    </row>
    <row r="32" spans="1:7" x14ac:dyDescent="0.35">
      <c r="A32" s="312" t="s">
        <v>140</v>
      </c>
      <c r="B32" s="315"/>
      <c r="C32" s="315"/>
      <c r="D32" s="315"/>
      <c r="E32" s="314"/>
    </row>
    <row r="33" spans="1:5" x14ac:dyDescent="0.35">
      <c r="A33" s="304" t="s">
        <v>131</v>
      </c>
      <c r="B33" s="317"/>
      <c r="C33" s="317">
        <v>3000</v>
      </c>
      <c r="D33" s="317"/>
      <c r="E33" s="316"/>
    </row>
    <row r="34" spans="1:5" x14ac:dyDescent="0.35">
      <c r="A34" s="312" t="s">
        <v>141</v>
      </c>
      <c r="B34" s="315"/>
      <c r="C34" s="315"/>
      <c r="D34" s="315"/>
      <c r="E34" s="314"/>
    </row>
    <row r="36" spans="1:5" x14ac:dyDescent="0.35">
      <c r="A36" t="s">
        <v>222</v>
      </c>
    </row>
    <row r="37" spans="1:5" ht="24" x14ac:dyDescent="0.35">
      <c r="A37" s="259" t="s">
        <v>218</v>
      </c>
      <c r="B37" s="259" t="s">
        <v>219</v>
      </c>
      <c r="C37" s="143" t="s">
        <v>220</v>
      </c>
      <c r="D37" s="143" t="s">
        <v>221</v>
      </c>
      <c r="E37" s="313" t="s">
        <v>144</v>
      </c>
    </row>
    <row r="38" spans="1:5" x14ac:dyDescent="0.35">
      <c r="A38" s="304" t="s">
        <v>139</v>
      </c>
      <c r="B38" s="317"/>
      <c r="C38" s="317"/>
      <c r="D38" s="317"/>
      <c r="E38" s="316"/>
    </row>
    <row r="39" spans="1:5" x14ac:dyDescent="0.35">
      <c r="A39" s="304" t="s">
        <v>49</v>
      </c>
      <c r="B39" s="317"/>
      <c r="C39" s="317"/>
      <c r="D39" s="317"/>
      <c r="E39" s="316"/>
    </row>
    <row r="40" spans="1:5" x14ac:dyDescent="0.35">
      <c r="A40" s="304" t="s">
        <v>112</v>
      </c>
      <c r="B40" s="317"/>
      <c r="C40" s="317"/>
      <c r="D40" s="317"/>
      <c r="E40" s="316"/>
    </row>
    <row r="41" spans="1:5" x14ac:dyDescent="0.35">
      <c r="A41" s="312" t="s">
        <v>140</v>
      </c>
      <c r="B41" s="315"/>
      <c r="C41" s="315"/>
      <c r="D41" s="315"/>
      <c r="E41" s="314"/>
    </row>
    <row r="42" spans="1:5" x14ac:dyDescent="0.35">
      <c r="A42" s="304" t="s">
        <v>131</v>
      </c>
      <c r="B42" s="317"/>
      <c r="C42" s="317"/>
      <c r="D42" s="317"/>
      <c r="E42" s="316"/>
    </row>
    <row r="43" spans="1:5" x14ac:dyDescent="0.35">
      <c r="A43" s="312" t="s">
        <v>141</v>
      </c>
      <c r="B43" s="315"/>
      <c r="C43" s="315"/>
      <c r="D43" s="315"/>
      <c r="E43" s="314"/>
    </row>
    <row r="45" spans="1:5" x14ac:dyDescent="0.35">
      <c r="A45" t="s">
        <v>223</v>
      </c>
    </row>
    <row r="46" spans="1:5" ht="24" x14ac:dyDescent="0.35">
      <c r="A46" s="259" t="s">
        <v>224</v>
      </c>
      <c r="B46" s="259" t="s">
        <v>145</v>
      </c>
      <c r="C46" s="143" t="s">
        <v>225</v>
      </c>
      <c r="D46" s="143" t="s">
        <v>146</v>
      </c>
      <c r="E46" s="313" t="s">
        <v>226</v>
      </c>
    </row>
    <row r="47" spans="1:5" x14ac:dyDescent="0.35">
      <c r="A47" s="304" t="s">
        <v>147</v>
      </c>
      <c r="B47" s="303"/>
      <c r="C47" s="303"/>
      <c r="D47" s="303"/>
      <c r="E47" s="302"/>
    </row>
    <row r="48" spans="1:5" x14ac:dyDescent="0.35">
      <c r="A48" s="304" t="s">
        <v>148</v>
      </c>
      <c r="B48" s="303"/>
      <c r="C48" s="303"/>
      <c r="D48" s="303"/>
      <c r="E48" s="302"/>
    </row>
    <row r="49" spans="1:19" x14ac:dyDescent="0.35">
      <c r="A49" s="304" t="s">
        <v>149</v>
      </c>
      <c r="B49" s="303"/>
      <c r="C49" s="303"/>
      <c r="D49" s="303"/>
      <c r="E49" s="302"/>
    </row>
    <row r="50" spans="1:19" x14ac:dyDescent="0.35">
      <c r="A50" s="304" t="s">
        <v>150</v>
      </c>
      <c r="B50" s="303"/>
      <c r="C50" s="303"/>
      <c r="D50" s="303"/>
      <c r="E50" s="302"/>
    </row>
    <row r="51" spans="1:19" x14ac:dyDescent="0.35">
      <c r="A51" s="304" t="s">
        <v>151</v>
      </c>
      <c r="B51" s="303"/>
      <c r="C51" s="303"/>
      <c r="D51" s="303"/>
      <c r="E51" s="302"/>
    </row>
    <row r="52" spans="1:19" x14ac:dyDescent="0.35">
      <c r="A52" s="304" t="s">
        <v>152</v>
      </c>
      <c r="B52" s="303"/>
      <c r="C52" s="303"/>
      <c r="D52" s="303"/>
      <c r="E52" s="302"/>
    </row>
    <row r="53" spans="1:19" x14ac:dyDescent="0.35">
      <c r="A53" s="304" t="s">
        <v>227</v>
      </c>
      <c r="B53" s="303"/>
      <c r="C53" s="303"/>
      <c r="D53" s="303"/>
      <c r="E53" s="302"/>
    </row>
    <row r="54" spans="1:19" x14ac:dyDescent="0.35">
      <c r="A54" s="304" t="s">
        <v>153</v>
      </c>
      <c r="B54" s="303"/>
      <c r="C54" s="303"/>
      <c r="D54" s="303"/>
      <c r="E54" s="302"/>
    </row>
    <row r="55" spans="1:19" x14ac:dyDescent="0.35">
      <c r="A55" s="312" t="s">
        <v>141</v>
      </c>
      <c r="B55" s="311"/>
      <c r="C55" s="311"/>
      <c r="D55" s="311"/>
      <c r="E55" s="310"/>
    </row>
    <row r="57" spans="1:19" x14ac:dyDescent="0.35">
      <c r="G57" s="305" t="s">
        <v>228</v>
      </c>
    </row>
    <row r="58" spans="1:19" x14ac:dyDescent="0.35">
      <c r="G58" s="999"/>
      <c r="H58" s="998" t="s">
        <v>155</v>
      </c>
      <c r="I58" s="998"/>
      <c r="J58" s="998"/>
      <c r="K58" s="998"/>
      <c r="L58" s="998"/>
      <c r="M58" s="998"/>
      <c r="N58" s="998" t="s">
        <v>156</v>
      </c>
      <c r="O58" s="998"/>
      <c r="P58" s="998"/>
      <c r="Q58" s="998"/>
      <c r="R58" s="998"/>
      <c r="S58" s="998"/>
    </row>
    <row r="59" spans="1:19" x14ac:dyDescent="0.35">
      <c r="G59" s="1000"/>
      <c r="H59" s="309" t="s">
        <v>157</v>
      </c>
      <c r="I59" s="308" t="s">
        <v>158</v>
      </c>
      <c r="J59" s="308" t="s">
        <v>159</v>
      </c>
      <c r="K59" s="307" t="s">
        <v>160</v>
      </c>
      <c r="L59" s="306" t="s">
        <v>161</v>
      </c>
      <c r="M59" s="306" t="s">
        <v>162</v>
      </c>
      <c r="N59" s="309" t="s">
        <v>157</v>
      </c>
      <c r="O59" s="308" t="s">
        <v>158</v>
      </c>
      <c r="P59" s="308" t="s">
        <v>159</v>
      </c>
      <c r="Q59" s="307" t="s">
        <v>160</v>
      </c>
      <c r="R59" s="306" t="s">
        <v>161</v>
      </c>
      <c r="S59" s="306" t="s">
        <v>162</v>
      </c>
    </row>
    <row r="60" spans="1:19" x14ac:dyDescent="0.35">
      <c r="G60" s="304" t="s">
        <v>229</v>
      </c>
      <c r="H60" s="303"/>
      <c r="I60" s="303"/>
      <c r="J60" s="303"/>
      <c r="K60" s="302"/>
      <c r="L60" s="302"/>
      <c r="M60" s="302"/>
      <c r="N60" s="303"/>
      <c r="O60" s="303"/>
      <c r="P60" s="303"/>
      <c r="Q60" s="302"/>
      <c r="R60" s="302"/>
      <c r="S60" s="302"/>
    </row>
    <row r="61" spans="1:19" x14ac:dyDescent="0.35">
      <c r="G61" s="304" t="s">
        <v>230</v>
      </c>
      <c r="H61" s="303"/>
      <c r="I61" s="303"/>
      <c r="J61" s="303"/>
      <c r="K61" s="302"/>
      <c r="L61" s="302"/>
      <c r="M61" s="302"/>
      <c r="N61" s="303"/>
      <c r="O61" s="303"/>
      <c r="P61" s="303"/>
      <c r="Q61" s="302"/>
      <c r="R61" s="302"/>
      <c r="S61" s="302"/>
    </row>
    <row r="62" spans="1:19" x14ac:dyDescent="0.35">
      <c r="G62" s="304" t="s">
        <v>231</v>
      </c>
      <c r="H62" s="303"/>
      <c r="I62" s="303"/>
      <c r="J62" s="303"/>
      <c r="K62" s="302"/>
      <c r="L62" s="302"/>
      <c r="M62" s="302"/>
      <c r="N62" s="303"/>
      <c r="O62" s="303"/>
      <c r="P62" s="303"/>
      <c r="Q62" s="302"/>
      <c r="R62" s="302"/>
      <c r="S62" s="302"/>
    </row>
    <row r="63" spans="1:19" x14ac:dyDescent="0.35">
      <c r="A63" s="305"/>
      <c r="G63" s="304" t="s">
        <v>232</v>
      </c>
      <c r="H63" s="303"/>
      <c r="I63" s="303"/>
      <c r="J63" s="303"/>
      <c r="K63" s="302"/>
      <c r="L63" s="302"/>
      <c r="M63" s="302"/>
      <c r="N63" s="303"/>
      <c r="O63" s="303"/>
      <c r="P63" s="303"/>
      <c r="Q63" s="302"/>
      <c r="R63" s="302"/>
      <c r="S63" s="302"/>
    </row>
    <row r="64" spans="1:19" x14ac:dyDescent="0.35">
      <c r="G64" s="304" t="s">
        <v>121</v>
      </c>
      <c r="H64" s="303"/>
      <c r="I64" s="303"/>
      <c r="J64" s="303"/>
      <c r="K64" s="302"/>
      <c r="L64" s="302"/>
      <c r="M64" s="302"/>
      <c r="N64" s="303"/>
      <c r="O64" s="303"/>
      <c r="P64" s="303"/>
      <c r="Q64" s="302"/>
      <c r="R64" s="302"/>
      <c r="S64" s="302"/>
    </row>
  </sheetData>
  <mergeCells count="3">
    <mergeCell ref="N58:S58"/>
    <mergeCell ref="H58:M58"/>
    <mergeCell ref="G58:G59"/>
  </mergeCells>
  <pageMargins left="0.7" right="0.7" top="0.75" bottom="0.75" header="0.3" footer="0.3"/>
  <pageSetup scale="1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sheetPr>
  <dimension ref="B1:S35"/>
  <sheetViews>
    <sheetView topLeftCell="A3" zoomScale="89" zoomScaleNormal="89" workbookViewId="0"/>
  </sheetViews>
  <sheetFormatPr defaultColWidth="8.453125" defaultRowHeight="14" x14ac:dyDescent="0.3"/>
  <cols>
    <col min="1" max="1" width="4.7265625" style="354" customWidth="1"/>
    <col min="2" max="2" width="35" style="354" customWidth="1"/>
    <col min="3" max="3" width="22.26953125" style="354" customWidth="1"/>
    <col min="4" max="4" width="17.26953125" style="354" customWidth="1"/>
    <col min="5" max="5" width="16.26953125" style="354" customWidth="1"/>
    <col min="6" max="6" width="9.26953125" style="354" bestFit="1" customWidth="1"/>
    <col min="7" max="7" width="16.7265625" style="354" customWidth="1"/>
    <col min="8" max="16384" width="8.453125" style="354"/>
  </cols>
  <sheetData>
    <row r="1" spans="2:19" ht="18" x14ac:dyDescent="0.4">
      <c r="B1" s="601" t="s">
        <v>233</v>
      </c>
      <c r="C1" s="600"/>
      <c r="D1" s="365"/>
      <c r="E1" s="365"/>
      <c r="F1" s="365"/>
      <c r="G1" s="365"/>
      <c r="H1" s="365"/>
      <c r="I1" s="365"/>
      <c r="J1" s="365"/>
      <c r="K1" s="365"/>
      <c r="L1" s="365"/>
      <c r="M1" s="365"/>
      <c r="N1" s="365"/>
      <c r="O1" s="365"/>
      <c r="P1" s="365"/>
      <c r="Q1" s="365"/>
      <c r="R1" s="365"/>
      <c r="S1" s="365"/>
    </row>
    <row r="2" spans="2:19" ht="18" x14ac:dyDescent="0.4">
      <c r="B2" s="355"/>
      <c r="C2" s="365"/>
      <c r="D2" s="365"/>
      <c r="E2" s="365"/>
      <c r="F2" s="365"/>
      <c r="G2" s="365" t="s">
        <v>234</v>
      </c>
      <c r="H2" s="365"/>
      <c r="I2" s="365"/>
      <c r="J2" s="365"/>
      <c r="K2" s="365"/>
      <c r="L2" s="365"/>
      <c r="M2" s="365"/>
      <c r="N2" s="365"/>
      <c r="O2" s="365"/>
      <c r="P2" s="365"/>
      <c r="Q2" s="365"/>
      <c r="R2" s="365"/>
      <c r="S2" s="365"/>
    </row>
    <row r="3" spans="2:19" ht="134.9" customHeight="1" x14ac:dyDescent="0.3">
      <c r="B3" s="1001"/>
      <c r="C3" s="1001"/>
      <c r="D3" s="1001"/>
      <c r="E3" s="1001"/>
      <c r="F3" s="365"/>
      <c r="G3" s="1002" t="s">
        <v>235</v>
      </c>
      <c r="H3" s="1002"/>
      <c r="I3" s="1002"/>
      <c r="J3" s="1002"/>
      <c r="K3" s="1002"/>
      <c r="L3" s="1002"/>
      <c r="M3" s="1002"/>
      <c r="N3" s="1002"/>
      <c r="O3" s="1002"/>
      <c r="P3" s="1002"/>
      <c r="Q3" s="1002"/>
      <c r="R3" s="1002"/>
      <c r="S3" s="1002"/>
    </row>
    <row r="4" spans="2:19" ht="15.5" x14ac:dyDescent="0.35">
      <c r="B4" s="356"/>
      <c r="C4" s="365"/>
      <c r="D4" s="365"/>
      <c r="E4" s="365"/>
      <c r="F4" s="365"/>
      <c r="G4" s="365"/>
      <c r="H4" s="365"/>
      <c r="I4" s="365"/>
      <c r="J4" s="365"/>
      <c r="K4" s="365"/>
      <c r="L4" s="365"/>
      <c r="M4" s="365"/>
      <c r="N4" s="365"/>
      <c r="O4" s="365"/>
      <c r="P4" s="365"/>
      <c r="Q4" s="365"/>
      <c r="R4" s="365"/>
      <c r="S4" s="365"/>
    </row>
    <row r="5" spans="2:19" ht="14.5" x14ac:dyDescent="0.35">
      <c r="B5" t="s">
        <v>236</v>
      </c>
      <c r="C5"/>
      <c r="D5"/>
      <c r="E5"/>
      <c r="F5"/>
      <c r="G5"/>
      <c r="H5"/>
      <c r="I5"/>
      <c r="J5"/>
      <c r="K5"/>
      <c r="L5"/>
      <c r="M5"/>
      <c r="N5"/>
      <c r="O5"/>
      <c r="P5"/>
      <c r="Q5"/>
      <c r="R5"/>
      <c r="S5"/>
    </row>
    <row r="6" spans="2:19" ht="45" x14ac:dyDescent="0.35">
      <c r="B6" s="602" t="s">
        <v>237</v>
      </c>
      <c r="C6" s="603" t="s">
        <v>220</v>
      </c>
      <c r="D6" s="603" t="s">
        <v>221</v>
      </c>
      <c r="E6" s="604" t="s">
        <v>144</v>
      </c>
      <c r="F6"/>
      <c r="G6"/>
      <c r="H6" s="357" t="s">
        <v>238</v>
      </c>
      <c r="I6" s="357" t="s">
        <v>239</v>
      </c>
      <c r="J6"/>
      <c r="K6"/>
      <c r="L6"/>
      <c r="M6"/>
      <c r="N6"/>
      <c r="O6"/>
      <c r="P6"/>
      <c r="Q6"/>
      <c r="R6"/>
      <c r="S6"/>
    </row>
    <row r="7" spans="2:19" ht="15.5" x14ac:dyDescent="0.35">
      <c r="B7" s="605" t="s">
        <v>139</v>
      </c>
      <c r="C7" s="606"/>
      <c r="D7" s="922">
        <f>'Qtr Electric Master'!M19</f>
        <v>19881.583999999999</v>
      </c>
      <c r="E7" s="923">
        <f>C7/D7</f>
        <v>0</v>
      </c>
      <c r="F7"/>
      <c r="G7" s="318" t="s">
        <v>240</v>
      </c>
      <c r="H7" s="358">
        <f>C10</f>
        <v>0</v>
      </c>
      <c r="I7" s="358">
        <f>C19</f>
        <v>0</v>
      </c>
      <c r="J7" s="338"/>
      <c r="K7"/>
      <c r="L7"/>
      <c r="M7"/>
      <c r="N7"/>
      <c r="O7"/>
      <c r="P7"/>
      <c r="Q7"/>
      <c r="R7"/>
      <c r="S7"/>
    </row>
    <row r="8" spans="2:19" ht="15.5" x14ac:dyDescent="0.35">
      <c r="B8" s="605" t="s">
        <v>49</v>
      </c>
      <c r="C8" s="606"/>
      <c r="D8" s="922">
        <f>'Qtr Electric Master'!M32</f>
        <v>2298.1190000000001</v>
      </c>
      <c r="E8" s="923">
        <f t="shared" ref="E8:E9" si="0">C8/D8</f>
        <v>0</v>
      </c>
      <c r="F8"/>
      <c r="G8" s="318"/>
      <c r="H8" s="317"/>
      <c r="I8" s="359"/>
      <c r="J8"/>
      <c r="K8"/>
      <c r="L8"/>
      <c r="M8"/>
      <c r="N8"/>
      <c r="O8"/>
      <c r="P8"/>
      <c r="Q8"/>
      <c r="R8"/>
      <c r="S8"/>
    </row>
    <row r="9" spans="2:19" ht="15.5" x14ac:dyDescent="0.35">
      <c r="B9" s="605" t="s">
        <v>112</v>
      </c>
      <c r="C9" s="606"/>
      <c r="D9" s="922">
        <f>'Qtr Electric Master'!M26</f>
        <v>37376.025000000001</v>
      </c>
      <c r="E9" s="923">
        <f t="shared" si="0"/>
        <v>0</v>
      </c>
      <c r="F9"/>
      <c r="G9" t="s">
        <v>241</v>
      </c>
      <c r="H9"/>
      <c r="I9"/>
      <c r="J9"/>
      <c r="K9"/>
      <c r="L9"/>
      <c r="M9"/>
      <c r="N9"/>
      <c r="O9"/>
      <c r="P9"/>
      <c r="Q9"/>
      <c r="R9"/>
      <c r="S9"/>
    </row>
    <row r="10" spans="2:19" ht="31" x14ac:dyDescent="0.35">
      <c r="B10" s="607" t="s">
        <v>140</v>
      </c>
      <c r="C10" s="608">
        <f>SUM(C7:C9)</f>
        <v>0</v>
      </c>
      <c r="D10" s="608">
        <f>SUM(D7:D9)</f>
        <v>59555.728000000003</v>
      </c>
      <c r="E10" s="609">
        <f>C10/D10</f>
        <v>0</v>
      </c>
      <c r="F10"/>
      <c r="G10"/>
      <c r="H10"/>
      <c r="I10"/>
      <c r="J10"/>
      <c r="K10"/>
      <c r="L10"/>
      <c r="M10"/>
      <c r="N10"/>
      <c r="O10"/>
      <c r="P10"/>
      <c r="Q10"/>
      <c r="R10"/>
      <c r="S10"/>
    </row>
    <row r="11" spans="2:19" ht="15.5" x14ac:dyDescent="0.35">
      <c r="B11" s="610" t="s">
        <v>131</v>
      </c>
      <c r="C11" s="611"/>
      <c r="D11" s="611">
        <v>0</v>
      </c>
      <c r="E11" s="610"/>
      <c r="F11"/>
      <c r="G11"/>
      <c r="H11"/>
      <c r="I11"/>
      <c r="J11"/>
      <c r="K11"/>
      <c r="L11"/>
      <c r="M11"/>
      <c r="N11"/>
      <c r="O11"/>
      <c r="P11"/>
      <c r="Q11"/>
      <c r="R11"/>
      <c r="S11"/>
    </row>
    <row r="12" spans="2:19" ht="15.5" x14ac:dyDescent="0.35">
      <c r="B12" s="612" t="s">
        <v>141</v>
      </c>
      <c r="C12" s="613">
        <f>C11+C10</f>
        <v>0</v>
      </c>
      <c r="D12" s="613">
        <f>D11+D10</f>
        <v>59555.728000000003</v>
      </c>
      <c r="E12" s="609">
        <f>C12/D12</f>
        <v>0</v>
      </c>
      <c r="F12"/>
      <c r="G12"/>
      <c r="H12"/>
      <c r="I12"/>
      <c r="J12"/>
      <c r="K12"/>
      <c r="L12"/>
      <c r="M12"/>
      <c r="N12"/>
      <c r="O12"/>
      <c r="P12"/>
      <c r="Q12"/>
      <c r="R12"/>
      <c r="S12"/>
    </row>
    <row r="13" spans="2:19" ht="15.5" x14ac:dyDescent="0.35">
      <c r="B13" s="614"/>
      <c r="C13" s="614"/>
      <c r="D13" s="614"/>
      <c r="E13" s="614"/>
      <c r="F13"/>
      <c r="G13"/>
      <c r="H13"/>
      <c r="I13"/>
      <c r="J13"/>
      <c r="K13"/>
      <c r="L13"/>
      <c r="M13"/>
      <c r="N13"/>
      <c r="O13"/>
      <c r="P13"/>
      <c r="Q13"/>
      <c r="R13"/>
      <c r="S13"/>
    </row>
    <row r="14" spans="2:19" ht="15.5" x14ac:dyDescent="0.35">
      <c r="B14" s="614" t="s">
        <v>242</v>
      </c>
      <c r="C14" s="614"/>
      <c r="D14" s="614"/>
      <c r="E14" s="614"/>
      <c r="F14"/>
      <c r="G14"/>
      <c r="H14"/>
      <c r="I14"/>
      <c r="J14"/>
      <c r="K14"/>
      <c r="L14"/>
      <c r="M14"/>
      <c r="N14"/>
      <c r="O14"/>
      <c r="P14"/>
      <c r="Q14"/>
      <c r="R14"/>
      <c r="S14"/>
    </row>
    <row r="15" spans="2:19" ht="46.5" x14ac:dyDescent="0.35">
      <c r="B15" s="615" t="s">
        <v>243</v>
      </c>
      <c r="C15" s="616" t="s">
        <v>220</v>
      </c>
      <c r="D15" s="616" t="s">
        <v>221</v>
      </c>
      <c r="E15" s="617" t="s">
        <v>144</v>
      </c>
      <c r="F15"/>
      <c r="G15"/>
      <c r="H15"/>
      <c r="I15"/>
      <c r="J15"/>
      <c r="K15"/>
      <c r="L15"/>
      <c r="M15"/>
      <c r="N15"/>
      <c r="O15"/>
      <c r="P15"/>
      <c r="Q15"/>
      <c r="R15"/>
      <c r="S15"/>
    </row>
    <row r="16" spans="2:19" ht="15.5" x14ac:dyDescent="0.35">
      <c r="B16" s="605" t="s">
        <v>139</v>
      </c>
      <c r="C16" s="618"/>
      <c r="D16" s="924">
        <f>'Qtr Electric Master'!M19</f>
        <v>19881.583999999999</v>
      </c>
      <c r="E16" s="925">
        <f>C16/D16</f>
        <v>0</v>
      </c>
      <c r="F16"/>
      <c r="G16"/>
      <c r="H16"/>
      <c r="I16"/>
      <c r="J16"/>
      <c r="K16"/>
      <c r="L16"/>
      <c r="M16"/>
      <c r="N16"/>
      <c r="O16"/>
      <c r="P16"/>
      <c r="Q16"/>
      <c r="R16"/>
      <c r="S16"/>
    </row>
    <row r="17" spans="2:19" ht="15.5" x14ac:dyDescent="0.35">
      <c r="B17" s="605" t="s">
        <v>49</v>
      </c>
      <c r="C17" s="618"/>
      <c r="D17" s="924">
        <f>'Qtr Electric Master'!M32</f>
        <v>2298.1190000000001</v>
      </c>
      <c r="E17" s="925">
        <f t="shared" ref="E17:E18" si="1">C17/D17</f>
        <v>0</v>
      </c>
      <c r="F17"/>
      <c r="G17"/>
      <c r="H17" s="365"/>
      <c r="I17" s="365"/>
      <c r="J17" s="365"/>
      <c r="K17" s="365"/>
      <c r="L17" s="365"/>
      <c r="M17" s="365"/>
      <c r="N17" s="365"/>
      <c r="O17" s="365"/>
      <c r="P17" s="365"/>
      <c r="Q17" s="365"/>
      <c r="R17" s="365"/>
      <c r="S17" s="365"/>
    </row>
    <row r="18" spans="2:19" ht="15.5" x14ac:dyDescent="0.35">
      <c r="B18" s="605" t="s">
        <v>112</v>
      </c>
      <c r="C18" s="618"/>
      <c r="D18" s="924">
        <f>'Qtr Electric Master'!M26</f>
        <v>37376.025000000001</v>
      </c>
      <c r="E18" s="925">
        <f t="shared" si="1"/>
        <v>0</v>
      </c>
      <c r="F18"/>
      <c r="G18"/>
      <c r="H18" s="365"/>
      <c r="I18" s="365"/>
      <c r="J18" s="365"/>
      <c r="K18" s="365"/>
      <c r="L18" s="365"/>
      <c r="M18" s="365"/>
      <c r="N18" s="365"/>
      <c r="O18" s="365"/>
      <c r="P18" s="365"/>
      <c r="Q18" s="365"/>
      <c r="R18" s="365"/>
      <c r="S18" s="365"/>
    </row>
    <row r="19" spans="2:19" ht="31" x14ac:dyDescent="0.35">
      <c r="B19" s="607" t="s">
        <v>140</v>
      </c>
      <c r="C19" s="619">
        <f>SUM(C16:C18)</f>
        <v>0</v>
      </c>
      <c r="D19" s="619">
        <f>SUM(D16:D18)</f>
        <v>59555.728000000003</v>
      </c>
      <c r="E19" s="620">
        <f>C19/D19</f>
        <v>0</v>
      </c>
      <c r="F19"/>
      <c r="G19"/>
      <c r="H19" s="365"/>
      <c r="I19" s="365"/>
      <c r="J19" s="365"/>
      <c r="K19" s="365"/>
      <c r="L19" s="365"/>
      <c r="M19" s="365"/>
      <c r="N19" s="365"/>
      <c r="O19" s="365"/>
      <c r="P19" s="365"/>
      <c r="Q19" s="365"/>
      <c r="R19" s="365"/>
      <c r="S19" s="365"/>
    </row>
    <row r="20" spans="2:19" ht="15.5" x14ac:dyDescent="0.35">
      <c r="B20" s="610" t="s">
        <v>131</v>
      </c>
      <c r="C20" s="621"/>
      <c r="D20" s="622">
        <v>0</v>
      </c>
      <c r="E20" s="623"/>
      <c r="F20"/>
      <c r="G20"/>
      <c r="H20" s="365"/>
      <c r="I20" s="365"/>
      <c r="J20" s="365"/>
      <c r="K20" s="365"/>
      <c r="L20" s="365"/>
      <c r="M20" s="365"/>
      <c r="N20" s="365"/>
      <c r="O20" s="365"/>
      <c r="P20" s="365"/>
      <c r="Q20" s="365"/>
      <c r="R20" s="365"/>
      <c r="S20" s="365"/>
    </row>
    <row r="21" spans="2:19" ht="15.5" x14ac:dyDescent="0.35">
      <c r="B21" s="612" t="s">
        <v>141</v>
      </c>
      <c r="C21" s="624">
        <f>C20+C19</f>
        <v>0</v>
      </c>
      <c r="D21" s="624">
        <f>D20+D19</f>
        <v>59555.728000000003</v>
      </c>
      <c r="E21" s="620">
        <f>C21/D21</f>
        <v>0</v>
      </c>
      <c r="F21"/>
      <c r="G21"/>
      <c r="H21" s="365"/>
      <c r="I21" s="365"/>
      <c r="J21" s="365"/>
      <c r="K21" s="365"/>
      <c r="L21" s="365"/>
      <c r="M21" s="365"/>
      <c r="N21" s="365"/>
      <c r="O21" s="365"/>
      <c r="P21" s="365"/>
      <c r="Q21" s="365"/>
      <c r="R21" s="365"/>
      <c r="S21" s="365"/>
    </row>
    <row r="22" spans="2:19" ht="14.5" x14ac:dyDescent="0.35">
      <c r="B22" s="1003" t="s">
        <v>244</v>
      </c>
      <c r="C22" s="1003"/>
      <c r="D22" s="1003"/>
      <c r="E22"/>
      <c r="F22"/>
      <c r="G22" t="s">
        <v>245</v>
      </c>
      <c r="H22" s="365"/>
      <c r="I22" s="365"/>
      <c r="J22" s="365"/>
      <c r="K22" s="365"/>
      <c r="L22" s="365"/>
      <c r="M22" s="365"/>
      <c r="N22" s="365"/>
      <c r="O22" s="365"/>
      <c r="P22" s="365"/>
      <c r="Q22" s="365"/>
      <c r="R22" s="365"/>
      <c r="S22" s="365"/>
    </row>
    <row r="23" spans="2:19" ht="46.5" customHeight="1" x14ac:dyDescent="0.35">
      <c r="B23" s="1003"/>
      <c r="C23" s="1003"/>
      <c r="D23" s="1003"/>
      <c r="E23"/>
      <c r="F23"/>
      <c r="G23"/>
      <c r="H23" s="365"/>
      <c r="I23" s="365"/>
      <c r="J23" s="365"/>
      <c r="K23" s="365"/>
      <c r="L23" s="365"/>
      <c r="M23" s="365"/>
      <c r="N23" s="365"/>
      <c r="O23" s="365"/>
      <c r="P23" s="365"/>
      <c r="Q23" s="365"/>
      <c r="R23" s="365"/>
      <c r="S23" s="365"/>
    </row>
    <row r="24" spans="2:19" ht="14.5" x14ac:dyDescent="0.35">
      <c r="B24" s="360"/>
      <c r="C24" s="361"/>
      <c r="D24" s="361"/>
      <c r="E24" s="361"/>
      <c r="F24"/>
      <c r="G24"/>
      <c r="H24" s="365"/>
      <c r="I24" s="365"/>
      <c r="J24" s="365"/>
      <c r="K24" s="365"/>
      <c r="L24" s="365"/>
      <c r="M24" s="365"/>
      <c r="N24" s="365"/>
      <c r="O24" s="365"/>
      <c r="P24" s="365"/>
      <c r="Q24" s="365"/>
      <c r="R24" s="365"/>
      <c r="S24" s="365"/>
    </row>
    <row r="25" spans="2:19" ht="14.5" x14ac:dyDescent="0.35">
      <c r="B25" s="305"/>
      <c r="C25" s="5"/>
      <c r="D25" s="5"/>
      <c r="E25" s="362"/>
      <c r="F25"/>
      <c r="G25"/>
      <c r="H25" s="365"/>
      <c r="I25" s="365"/>
      <c r="J25" s="365"/>
      <c r="K25" s="365"/>
      <c r="L25" s="365"/>
      <c r="M25" s="365"/>
      <c r="N25" s="365"/>
      <c r="O25" s="365"/>
      <c r="P25" s="365"/>
      <c r="Q25" s="365"/>
      <c r="R25" s="365"/>
      <c r="S25" s="365"/>
    </row>
    <row r="26" spans="2:19" ht="14.5" x14ac:dyDescent="0.35">
      <c r="B26" s="305"/>
      <c r="C26" s="5"/>
      <c r="D26" s="5"/>
      <c r="E26" s="362"/>
      <c r="F26"/>
      <c r="G26"/>
      <c r="H26" s="365"/>
      <c r="I26" s="365"/>
      <c r="J26" s="365"/>
      <c r="K26" s="365"/>
      <c r="L26" s="365"/>
      <c r="M26" s="365"/>
      <c r="N26" s="365"/>
      <c r="O26" s="365"/>
      <c r="P26" s="365"/>
      <c r="Q26" s="365"/>
      <c r="R26" s="365"/>
      <c r="S26" s="365"/>
    </row>
    <row r="27" spans="2:19" ht="14.5" x14ac:dyDescent="0.35">
      <c r="B27" s="305"/>
      <c r="C27" s="5"/>
      <c r="D27" s="5"/>
      <c r="E27" s="362"/>
      <c r="F27"/>
      <c r="G27"/>
      <c r="H27" s="365"/>
      <c r="I27" s="365"/>
      <c r="J27" s="365"/>
      <c r="K27" s="365"/>
      <c r="L27" s="365"/>
      <c r="M27" s="365"/>
      <c r="N27" s="365"/>
      <c r="O27" s="365"/>
      <c r="P27" s="365"/>
      <c r="Q27" s="365"/>
      <c r="R27" s="365"/>
      <c r="S27" s="365"/>
    </row>
    <row r="28" spans="2:19" ht="14.5" x14ac:dyDescent="0.35">
      <c r="B28" s="305"/>
      <c r="C28" s="5"/>
      <c r="D28" s="5"/>
      <c r="E28" s="362"/>
      <c r="F28"/>
      <c r="G28"/>
      <c r="H28" s="365"/>
      <c r="I28" s="365"/>
      <c r="J28" s="365"/>
      <c r="K28" s="365"/>
      <c r="L28" s="365"/>
      <c r="M28" s="365"/>
      <c r="N28" s="365"/>
      <c r="O28" s="365"/>
      <c r="P28" s="365"/>
      <c r="Q28" s="365"/>
      <c r="R28" s="365"/>
      <c r="S28" s="365"/>
    </row>
    <row r="29" spans="2:19" ht="14.5" x14ac:dyDescent="0.35">
      <c r="B29" s="305"/>
      <c r="C29" s="5"/>
      <c r="D29" s="5"/>
      <c r="E29" s="362"/>
      <c r="F29"/>
      <c r="G29"/>
      <c r="H29" s="365"/>
      <c r="I29" s="365"/>
      <c r="J29" s="365"/>
      <c r="K29" s="365"/>
      <c r="L29" s="365"/>
      <c r="M29" s="365"/>
      <c r="N29" s="365"/>
      <c r="O29" s="365"/>
      <c r="P29" s="365"/>
      <c r="Q29" s="365"/>
      <c r="R29" s="365"/>
      <c r="S29" s="365"/>
    </row>
    <row r="30" spans="2:19" ht="14.5" x14ac:dyDescent="0.35">
      <c r="B30" s="305"/>
      <c r="C30" s="5"/>
      <c r="D30" s="5"/>
      <c r="E30" s="362"/>
      <c r="F30"/>
      <c r="G30"/>
      <c r="H30" s="365"/>
      <c r="I30" s="365"/>
      <c r="J30" s="365"/>
      <c r="K30" s="365"/>
      <c r="L30" s="365"/>
      <c r="M30" s="365"/>
      <c r="N30" s="365"/>
      <c r="O30" s="365"/>
      <c r="P30" s="365"/>
      <c r="Q30" s="365"/>
      <c r="R30" s="365"/>
      <c r="S30" s="365"/>
    </row>
    <row r="31" spans="2:19" ht="14.5" x14ac:dyDescent="0.35">
      <c r="B31" s="305"/>
      <c r="C31" s="5"/>
      <c r="D31" s="5"/>
      <c r="E31" s="362"/>
      <c r="F31"/>
      <c r="G31"/>
      <c r="H31" s="365"/>
      <c r="I31" s="365"/>
      <c r="J31" s="365"/>
      <c r="K31" s="365"/>
      <c r="L31" s="365"/>
      <c r="M31" s="365"/>
      <c r="N31" s="365"/>
      <c r="O31" s="365"/>
      <c r="P31" s="365"/>
      <c r="Q31" s="365"/>
      <c r="R31" s="365"/>
      <c r="S31" s="365"/>
    </row>
    <row r="32" spans="2:19" ht="14.5" x14ac:dyDescent="0.35">
      <c r="B32" s="305"/>
      <c r="C32" s="5"/>
      <c r="D32" s="5"/>
      <c r="E32" s="362"/>
      <c r="F32"/>
      <c r="G32"/>
      <c r="H32" s="365"/>
      <c r="I32" s="365"/>
      <c r="J32" s="365"/>
      <c r="K32" s="365"/>
      <c r="L32" s="365"/>
      <c r="M32" s="365"/>
      <c r="N32" s="365"/>
      <c r="O32" s="365"/>
      <c r="P32" s="365"/>
      <c r="Q32" s="365"/>
      <c r="R32" s="365"/>
      <c r="S32" s="365"/>
    </row>
    <row r="33" spans="2:7" ht="14.5" x14ac:dyDescent="0.35">
      <c r="B33" s="305"/>
      <c r="C33" s="5"/>
      <c r="D33" s="5"/>
      <c r="E33" s="362"/>
      <c r="F33" s="365"/>
      <c r="G33" s="365"/>
    </row>
    <row r="34" spans="2:7" ht="14.5" x14ac:dyDescent="0.35">
      <c r="B34"/>
      <c r="C34"/>
      <c r="D34"/>
      <c r="E34"/>
      <c r="F34" s="365"/>
      <c r="G34" s="365"/>
    </row>
    <row r="35" spans="2:7" ht="14.5" x14ac:dyDescent="0.35">
      <c r="B35"/>
      <c r="C35"/>
      <c r="D35"/>
      <c r="E35"/>
      <c r="F35" s="365"/>
      <c r="G35" s="365"/>
    </row>
  </sheetData>
  <mergeCells count="3">
    <mergeCell ref="B3:E3"/>
    <mergeCell ref="G3:S3"/>
    <mergeCell ref="B22:D23"/>
  </mergeCells>
  <pageMargins left="0.45" right="0.45"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19"/>
  <sheetViews>
    <sheetView workbookViewId="0"/>
  </sheetViews>
  <sheetFormatPr defaultColWidth="8.453125" defaultRowHeight="14" x14ac:dyDescent="0.3"/>
  <cols>
    <col min="1" max="1" width="4.26953125" style="354" customWidth="1"/>
    <col min="2" max="2" width="29.453125" style="354" customWidth="1"/>
    <col min="3" max="3" width="24" style="354" customWidth="1"/>
    <col min="4" max="4" width="36.453125" style="497" customWidth="1"/>
    <col min="5" max="16384" width="8.453125" style="354"/>
  </cols>
  <sheetData>
    <row r="1" spans="2:7" ht="18" x14ac:dyDescent="0.4">
      <c r="B1" s="355" t="s">
        <v>246</v>
      </c>
      <c r="C1" s="365"/>
      <c r="E1" s="365"/>
      <c r="F1" s="365"/>
      <c r="G1" s="365"/>
    </row>
    <row r="2" spans="2:7" ht="18" x14ac:dyDescent="0.4">
      <c r="B2" s="355"/>
      <c r="C2" s="365"/>
      <c r="E2" s="365"/>
      <c r="F2" s="365"/>
      <c r="G2" s="365"/>
    </row>
    <row r="3" spans="2:7" x14ac:dyDescent="0.3">
      <c r="B3" s="1004" t="s">
        <v>247</v>
      </c>
      <c r="C3" s="1004"/>
      <c r="D3" s="1004"/>
      <c r="E3" s="365"/>
      <c r="F3" s="365"/>
      <c r="G3" s="365"/>
    </row>
    <row r="4" spans="2:7" x14ac:dyDescent="0.3">
      <c r="B4" s="363"/>
      <c r="C4" s="365"/>
      <c r="E4" s="365"/>
      <c r="F4" s="365"/>
      <c r="G4" s="365"/>
    </row>
    <row r="5" spans="2:7" x14ac:dyDescent="0.3">
      <c r="B5" s="1005" t="s">
        <v>248</v>
      </c>
      <c r="C5" s="1006"/>
      <c r="D5" s="1007"/>
      <c r="E5" s="365"/>
      <c r="F5" s="365"/>
      <c r="G5" s="365"/>
    </row>
    <row r="6" spans="2:7" x14ac:dyDescent="0.3">
      <c r="B6" s="509" t="s">
        <v>249</v>
      </c>
      <c r="C6" s="510" t="s">
        <v>250</v>
      </c>
      <c r="D6" s="511" t="s">
        <v>251</v>
      </c>
      <c r="E6" s="365"/>
      <c r="F6" s="365"/>
      <c r="G6" s="365"/>
    </row>
    <row r="7" spans="2:7" ht="32.9" customHeight="1" x14ac:dyDescent="0.3">
      <c r="B7" s="503" t="s">
        <v>252</v>
      </c>
      <c r="C7" s="504"/>
      <c r="D7" s="505"/>
      <c r="E7" s="365"/>
      <c r="F7" s="365"/>
      <c r="G7" s="365"/>
    </row>
    <row r="8" spans="2:7" ht="25.5" customHeight="1" x14ac:dyDescent="0.3">
      <c r="B8" s="503" t="s">
        <v>253</v>
      </c>
      <c r="C8" s="504"/>
      <c r="D8" s="506"/>
      <c r="E8" s="365"/>
      <c r="F8" s="365"/>
      <c r="G8" s="365"/>
    </row>
    <row r="9" spans="2:7" ht="18" customHeight="1" x14ac:dyDescent="0.3">
      <c r="B9" s="503" t="s">
        <v>164</v>
      </c>
      <c r="C9" s="504"/>
      <c r="D9" s="506"/>
      <c r="E9" s="365"/>
      <c r="F9" s="365"/>
      <c r="G9" s="365"/>
    </row>
    <row r="10" spans="2:7" ht="25.5" customHeight="1" x14ac:dyDescent="0.3">
      <c r="B10" s="503" t="s">
        <v>37</v>
      </c>
      <c r="C10" s="504"/>
      <c r="D10" s="506"/>
      <c r="E10" s="365"/>
      <c r="F10" s="365"/>
      <c r="G10" s="365"/>
    </row>
    <row r="11" spans="2:7" ht="18" customHeight="1" x14ac:dyDescent="0.3">
      <c r="B11" s="503" t="s">
        <v>110</v>
      </c>
      <c r="C11" s="504"/>
      <c r="D11" s="506"/>
      <c r="E11" s="365"/>
      <c r="F11" s="365"/>
      <c r="G11" s="365"/>
    </row>
    <row r="12" spans="2:7" ht="18" customHeight="1" x14ac:dyDescent="0.3">
      <c r="B12" s="503" t="s">
        <v>254</v>
      </c>
      <c r="C12" s="504"/>
      <c r="D12" s="506"/>
      <c r="E12" s="365"/>
      <c r="F12" s="365"/>
      <c r="G12" s="365"/>
    </row>
    <row r="13" spans="2:7" ht="19.5" customHeight="1" x14ac:dyDescent="0.3">
      <c r="B13" s="503" t="s">
        <v>255</v>
      </c>
      <c r="C13" s="504"/>
      <c r="D13" s="506"/>
      <c r="E13" s="365"/>
      <c r="F13" s="365"/>
      <c r="G13" s="365"/>
    </row>
    <row r="14" spans="2:7" ht="18" customHeight="1" x14ac:dyDescent="0.3">
      <c r="B14" s="503" t="s">
        <v>256</v>
      </c>
      <c r="C14" s="504"/>
      <c r="D14" s="506"/>
      <c r="E14" s="365"/>
      <c r="F14" s="365"/>
      <c r="G14" s="365"/>
    </row>
    <row r="15" spans="2:7" ht="18" customHeight="1" x14ac:dyDescent="0.3">
      <c r="B15" s="503" t="s">
        <v>257</v>
      </c>
      <c r="C15" s="504"/>
      <c r="D15" s="506"/>
      <c r="E15" s="365"/>
      <c r="F15" s="365"/>
      <c r="G15" s="365"/>
    </row>
    <row r="16" spans="2:7" ht="15.75" customHeight="1" x14ac:dyDescent="0.3">
      <c r="B16" s="507" t="s">
        <v>258</v>
      </c>
      <c r="C16" s="504"/>
      <c r="D16" s="508">
        <f>SUM(D7:D15)</f>
        <v>0</v>
      </c>
      <c r="E16" s="365"/>
      <c r="F16" s="365"/>
      <c r="G16" s="558"/>
    </row>
    <row r="17" spans="2:4" ht="33.75" customHeight="1" x14ac:dyDescent="0.3">
      <c r="B17" s="1008" t="s">
        <v>259</v>
      </c>
      <c r="C17" s="1009"/>
      <c r="D17" s="1009"/>
    </row>
    <row r="18" spans="2:4" x14ac:dyDescent="0.3">
      <c r="B18" s="625"/>
      <c r="C18" s="626"/>
      <c r="D18" s="627"/>
    </row>
    <row r="19" spans="2:4" x14ac:dyDescent="0.3">
      <c r="B19" s="626"/>
      <c r="C19" s="626"/>
      <c r="D19" s="627"/>
    </row>
  </sheetData>
  <mergeCells count="3">
    <mergeCell ref="B3:D3"/>
    <mergeCell ref="B5:D5"/>
    <mergeCell ref="B17:D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291332-5843-45d8-bfc3-9844fb3e26da">
      <UserInfo>
        <DisplayName>Rosenthal, Nicholas I:(PHI)</DisplayName>
        <AccountId>61</AccountId>
        <AccountType/>
      </UserInfo>
      <UserInfo>
        <DisplayName>Tate, Pamela:(PHI)</DisplayName>
        <AccountId>38</AccountId>
        <AccountType/>
      </UserInfo>
      <UserInfo>
        <DisplayName>Rountree, Candyce A:(PHI)</DisplayName>
        <AccountId>85</AccountId>
        <AccountType/>
      </UserInfo>
      <UserInfo>
        <DisplayName>Church-Guy, Christian E:(PHI)</DisplayName>
        <AccountId>32</AccountId>
        <AccountType/>
      </UserInfo>
      <UserInfo>
        <DisplayName>Jones, Sherri:(PHI)</DisplayName>
        <AccountId>101</AccountId>
        <AccountType/>
      </UserInfo>
      <UserInfo>
        <DisplayName>Hitchman, Elizabeth A:(PHI)</DisplayName>
        <AccountId>35</AccountId>
        <AccountType/>
      </UserInfo>
      <UserInfo>
        <DisplayName>Hopper, Aija:(PHI)</DisplayName>
        <AccountId>210</AccountId>
        <AccountType/>
      </UserInfo>
      <UserInfo>
        <DisplayName>Miles, Paul W:(PHI)</DisplayName>
        <AccountId>86</AccountId>
        <AccountType/>
      </UserInfo>
      <UserInfo>
        <DisplayName>Wynne, Vincent M:(PHI)</DisplayName>
        <AccountId>13</AccountId>
        <AccountType/>
      </UserInfo>
      <UserInfo>
        <DisplayName>Martin, Jeffrey J:(PHI)</DisplayName>
        <AccountId>17</AccountId>
        <AccountType/>
      </UserInfo>
      <UserInfo>
        <DisplayName>Sneeringer, David J:(PHI)</DisplayName>
        <AccountId>36</AccountId>
        <AccountType/>
      </UserInfo>
      <UserInfo>
        <DisplayName>Cohen, Joseph K:(PHI)</DisplayName>
        <AccountId>14</AccountId>
        <AccountType/>
      </UserInfo>
      <UserInfo>
        <DisplayName>Henderson, Kimberly L:(PHI)</DisplayName>
        <AccountId>57</AccountId>
        <AccountType/>
      </UserInfo>
      <UserInfo>
        <DisplayName>Tiwari, Amrita:(PHI)</DisplayName>
        <AccountId>137</AccountId>
        <AccountType/>
      </UserInfo>
      <UserInfo>
        <DisplayName>Yu, Jessica:(PHI)</DisplayName>
        <AccountId>53</AccountId>
        <AccountType/>
      </UserInfo>
      <UserInfo>
        <DisplayName>Yemenijian, Debra:(PHI)</DisplayName>
        <AccountId>96</AccountId>
        <AccountType/>
      </UserInfo>
      <UserInfo>
        <DisplayName>Shu, Priscilla:(PHI)</DisplayName>
        <AccountId>148</AccountId>
        <AccountType/>
      </UserInfo>
      <UserInfo>
        <DisplayName>Major, Lauri:(PHI)</DisplayName>
        <AccountId>84</AccountId>
        <AccountType/>
      </UserInfo>
      <UserInfo>
        <DisplayName>Roark, Jacqueline R:(PHI)</DisplayName>
        <AccountId>45</AccountId>
        <AccountType/>
      </UserInfo>
      <UserInfo>
        <DisplayName>Anastasopoulos, Kyriakos:(PHI)</DisplayName>
        <AccountId>67</AccountId>
        <AccountType/>
      </UserInfo>
      <UserInfo>
        <DisplayName>Bell, Imran:(PHI)</DisplayName>
        <AccountId>109</AccountId>
        <AccountType/>
      </UserInfo>
      <UserInfo>
        <DisplayName>Measamer, Christine E:(PHI)</DisplayName>
        <AccountId>56</AccountId>
        <AccountType/>
      </UserInfo>
      <UserInfo>
        <DisplayName>Pirtle, David C:(PHI)</DisplayName>
        <AccountId>43</AccountId>
        <AccountType/>
      </UserInfo>
      <UserInfo>
        <DisplayName>Coyle, Catherine C:(PHI)</DisplayName>
        <AccountId>354</AccountId>
        <AccountType/>
      </UserInfo>
      <UserInfo>
        <DisplayName>Passanante, Philip J:(PHI)</DisplayName>
        <AccountId>351</AccountId>
        <AccountType/>
      </UserInfo>
      <UserInfo>
        <DisplayName>Hall, Heather:(ACE)</DisplayName>
        <AccountId>279</AccountId>
        <AccountType/>
      </UserInfo>
      <UserInfo>
        <DisplayName>Sheridan, Joanne C:(ACE)</DisplayName>
        <AccountId>386</AccountId>
        <AccountType/>
      </UserInfo>
      <UserInfo>
        <DisplayName>Reilly, Julia P:(PHI)</DisplayName>
        <AccountId>352</AccountId>
        <AccountType/>
      </UserInfo>
      <UserInfo>
        <DisplayName>Showalter, Kelly J:(PHI)</DisplayName>
        <AccountId>387</AccountId>
        <AccountType/>
      </UserInfo>
      <UserInfo>
        <DisplayName>McCullough, Gwen Theresa T:(PHI)</DisplayName>
        <AccountId>224</AccountId>
        <AccountType/>
      </UserInfo>
      <UserInfo>
        <DisplayName>Kremmel, Ashley:(PHI)</DisplayName>
        <AccountId>145</AccountId>
        <AccountType/>
      </UserInfo>
      <UserInfo>
        <DisplayName>Masters, Joshua L:(PHI)</DisplayName>
        <AccountId>146</AccountId>
        <AccountType/>
      </UserInfo>
    </SharedWithUsers>
    <_activity xmlns="39c968e2-ee87-41b9-8fa8-4cd604c6e88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6" ma:contentTypeDescription="Create a new document." ma:contentTypeScope="" ma:versionID="8a3035749d84f1ec8ef0acfe3243cc51">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a5df3301cb69bff59dcebdd055577f15"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6D6747A1-12BF-4046-909E-B94B95B669EF}">
  <ds:schemaRefs>
    <ds:schemaRef ds:uri="http://purl.org/dc/elements/1.1/"/>
    <ds:schemaRef ds:uri="http://www.w3.org/XML/1998/namespace"/>
    <ds:schemaRef ds:uri="39c968e2-ee87-41b9-8fa8-4cd604c6e882"/>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ba291332-5843-45d8-bfc3-9844fb3e26da"/>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5E4EAF8-5C4C-4C46-BD2A-7F7F85C00E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Wholesale Annual Electric (Orig</vt:lpstr>
      <vt:lpstr>Qtr Electric Master</vt:lpstr>
      <vt:lpstr>Table 8</vt:lpstr>
      <vt:lpstr>Sheet1</vt:lpstr>
      <vt:lpstr>Qtr Electric LMI</vt:lpstr>
      <vt:lpstr>Qtr Electric Business Class</vt:lpstr>
      <vt:lpstr>Do Not Use</vt:lpstr>
      <vt:lpstr>AP F -TRM Secondary Metrics</vt:lpstr>
      <vt:lpstr>AP G - Transfer</vt:lpstr>
      <vt:lpstr>AP H - CostTest</vt:lpstr>
      <vt:lpstr>Notes</vt:lpstr>
      <vt:lpstr>'Qtr Electric Business Class'!Print_Area</vt:lpstr>
      <vt:lpstr>'Qtr Electric LMI'!Print_Area</vt:lpstr>
      <vt:lpstr>'Qtr Electric Master'!Print_Area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Trautman, Alexis</dc:creator>
  <cp:keywords/>
  <dc:description/>
  <cp:lastModifiedBy>Trautman, Alexis</cp:lastModifiedBy>
  <cp:revision/>
  <dcterms:created xsi:type="dcterms:W3CDTF">2023-03-22T12:21:08Z</dcterms:created>
  <dcterms:modified xsi:type="dcterms:W3CDTF">2023-04-27T20:03:46Z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ies>
</file>