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ttps://sonj-my.sharepoint.com/personal/alexis_trautman_bpu_nj_gov/Documents/Documents/Utility Quarterly Tracking Reports/2023/Q1 2023/Final Published Reports/"/>
    </mc:Choice>
  </mc:AlternateContent>
  <bookViews>
    <workbookView xWindow="0" yWindow="0" windowWidth="28800" windowHeight="12450" firstSheet="1" activeTab="1"/>
  </bookViews>
  <sheets>
    <sheet name="Wholesale Annual Electric (Orig" sheetId="25" state="hidden" r:id="rId1"/>
    <sheet name="Qtr Electric Master" sheetId="27" r:id="rId2"/>
    <sheet name="Table 8" sheetId="47" state="hidden" r:id="rId3"/>
    <sheet name="Sheet1" sheetId="48" state="hidden" r:id="rId4"/>
    <sheet name="Qtr Electric LMI" sheetId="50" r:id="rId5"/>
    <sheet name="Qtr Electric Business Class" sheetId="30" r:id="rId6"/>
    <sheet name="Do Not Use" sheetId="32" state="hidden" r:id="rId7"/>
    <sheet name="AP F -TRM Secondary Metrics" sheetId="40" state="hidden" r:id="rId8"/>
    <sheet name="AP G - Transfer" sheetId="41" state="hidden" r:id="rId9"/>
    <sheet name="AP H - CostTest" sheetId="39" state="hidden" r:id="rId10"/>
    <sheet name="Notes" sheetId="54" state="hidden" r:id="rId11"/>
  </sheets>
  <definedNames>
    <definedName name="\B">#REF!</definedName>
    <definedName name="\C">#REF!</definedName>
    <definedName name="\D">#REF!</definedName>
    <definedName name="\E">#REF!</definedName>
    <definedName name="\M">#REF!</definedName>
    <definedName name="\O">#REF!</definedName>
    <definedName name="\P">#REF!</definedName>
    <definedName name="\Q">#REF!</definedName>
    <definedName name="\R">#REF!</definedName>
    <definedName name="\S">#REF!</definedName>
    <definedName name="\U">#REF!</definedName>
    <definedName name="\V">#REF!</definedName>
    <definedName name="\W">#REF!</definedName>
    <definedName name="_________DAT4">#REF!</definedName>
    <definedName name="_______DAT4">#REF!</definedName>
    <definedName name="____DAT4">#REF!</definedName>
    <definedName name="____New2">#REF!</definedName>
    <definedName name="____New3">#REF!</definedName>
    <definedName name="____New4">#REF!</definedName>
    <definedName name="___Key2" hidden="1">#REF!</definedName>
    <definedName name="___New2">#REF!</definedName>
    <definedName name="___New3">#REF!</definedName>
    <definedName name="___New4">#REF!</definedName>
    <definedName name="__123Graph_B" hidden="1">#REF!</definedName>
    <definedName name="__123Graph_C" hidden="1">#REF!</definedName>
    <definedName name="__123Graph_D" hidden="1">#REF!</definedName>
    <definedName name="__123Graph_E" hidden="1">#REF!</definedName>
    <definedName name="__123Graph_F" hidden="1">#REF!</definedName>
    <definedName name="__AAL1">#REF!</definedName>
    <definedName name="__DAT4">#REF!</definedName>
    <definedName name="__Key2" hidden="1">#REF!</definedName>
    <definedName name="__mm1">#REF!</definedName>
    <definedName name="__mm10">#REF!</definedName>
    <definedName name="__mm11">#REF!</definedName>
    <definedName name="__mm12">#REF!</definedName>
    <definedName name="__mm13">#REF!</definedName>
    <definedName name="__mm14">#REF!</definedName>
    <definedName name="__mm15">#REF!</definedName>
    <definedName name="__mm16">#REF!</definedName>
    <definedName name="__mm17">#REF!</definedName>
    <definedName name="__mm18">#REF!</definedName>
    <definedName name="__mm19">#REF!</definedName>
    <definedName name="__mm2">#REF!</definedName>
    <definedName name="__mm3">#REF!</definedName>
    <definedName name="__mm4">#REF!</definedName>
    <definedName name="__mm5">#REF!</definedName>
    <definedName name="__mm7">#REF!</definedName>
    <definedName name="__mm8">#REF!</definedName>
    <definedName name="__mm9">#REF!</definedName>
    <definedName name="__New2">#REF!</definedName>
    <definedName name="__New3">#REF!</definedName>
    <definedName name="__New4">#REF!</definedName>
    <definedName name="__ryr56565" hidden="1">{#N/A,#N/A,FALSE,"Monthly SAIFI";#N/A,#N/A,FALSE,"Yearly SAIFI";#N/A,#N/A,FALSE,"Monthly CAIDI";#N/A,#N/A,FALSE,"Yearly CAIDI";#N/A,#N/A,FALSE,"Monthly SAIDI";#N/A,#N/A,FALSE,"Yearly SAIDI";#N/A,#N/A,FALSE,"Monthly MAIFI";#N/A,#N/A,FALSE,"Yearly MAIFI";#N/A,#N/A,FALSE,"Monthly Cust &gt;=4 Int"}</definedName>
    <definedName name="__zc22">#REF!</definedName>
    <definedName name="_20_MWS">#REF!</definedName>
    <definedName name="_21_MWS">#REF!</definedName>
    <definedName name="_23_MWS">#REF!</definedName>
    <definedName name="_24_MWS">#REF!</definedName>
    <definedName name="_35_MWS">#REF!</definedName>
    <definedName name="_38_0_0_K" hidden="1">#REF!</definedName>
    <definedName name="_39_0_0_S" hidden="1">#REF!</definedName>
    <definedName name="_40_MWS">#REF!</definedName>
    <definedName name="_44_0_0_K" hidden="1">#REF!</definedName>
    <definedName name="_45_0_0_K" hidden="1">#REF!</definedName>
    <definedName name="_45_MWS">#REF!</definedName>
    <definedName name="_50_MWS">#REF!</definedName>
    <definedName name="_52_0_0_S" hidden="1">#REF!</definedName>
    <definedName name="_53_0_0_S" hidden="1">#REF!</definedName>
    <definedName name="_55_MWS">#REF!</definedName>
    <definedName name="_AAL1">#REF!</definedName>
    <definedName name="_ALT_PPONU_D__Q">#REF!</definedName>
    <definedName name="_DAT1">#REF!</definedName>
    <definedName name="_DAT2">#REF!</definedName>
    <definedName name="_DAT3">#REF!</definedName>
    <definedName name="_DAT4">#REF!</definedName>
    <definedName name="_DAT5">#REF!</definedName>
    <definedName name="_DAT6">#REF!</definedName>
    <definedName name="_DAT7">#REF!</definedName>
    <definedName name="_DAT8">#REF!</definedName>
    <definedName name="_Fill" hidden="1">#REF!</definedName>
    <definedName name="_Fill09" hidden="1">#REF!</definedName>
    <definedName name="_Fill2009" hidden="1">#REF!</definedName>
    <definedName name="_Key1" hidden="1">#REF!</definedName>
    <definedName name="_Key2" hidden="1">#REF!</definedName>
    <definedName name="_mm1">#REF!</definedName>
    <definedName name="_mm10">#REF!</definedName>
    <definedName name="_mm11">#REF!</definedName>
    <definedName name="_mm12">#REF!</definedName>
    <definedName name="_mm13">#REF!</definedName>
    <definedName name="_mm14">#REF!</definedName>
    <definedName name="_mm15">#REF!</definedName>
    <definedName name="_mm16">#REF!</definedName>
    <definedName name="_mm17">#REF!</definedName>
    <definedName name="_mm18">#REF!</definedName>
    <definedName name="_mm19">#REF!</definedName>
    <definedName name="_mm2">#REF!</definedName>
    <definedName name="_mm3">#REF!</definedName>
    <definedName name="_mm4">#REF!</definedName>
    <definedName name="_mm5">#REF!</definedName>
    <definedName name="_mm7">#REF!</definedName>
    <definedName name="_mm8">#REF!</definedName>
    <definedName name="_mm9">#REF!</definedName>
    <definedName name="_New2">#REF!</definedName>
    <definedName name="_New3">#REF!</definedName>
    <definedName name="_New4">#REF!</definedName>
    <definedName name="_Order1" hidden="1">0</definedName>
    <definedName name="_Order2" hidden="1">255</definedName>
    <definedName name="_ryr56565" hidden="1">{#N/A,#N/A,FALSE,"Monthly SAIFI";#N/A,#N/A,FALSE,"Yearly SAIFI";#N/A,#N/A,FALSE,"Monthly CAIDI";#N/A,#N/A,FALSE,"Yearly CAIDI";#N/A,#N/A,FALSE,"Monthly SAIDI";#N/A,#N/A,FALSE,"Yearly SAIDI";#N/A,#N/A,FALSE,"Monthly MAIFI";#N/A,#N/A,FALSE,"Yearly MAIFI";#N/A,#N/A,FALSE,"Monthly Cust &gt;=4 Int"}</definedName>
    <definedName name="_Sort" hidden="1">#REF!</definedName>
    <definedName name="_WORLDOX">#REF!</definedName>
    <definedName name="a" hidden="1">{#N/A,#N/A,FALSE,"Monthly SAIFI";#N/A,#N/A,FALSE,"Yearly SAIFI";#N/A,#N/A,FALSE,"Monthly CAIDI";#N/A,#N/A,FALSE,"Yearly CAIDI";#N/A,#N/A,FALSE,"Monthly SAIDI";#N/A,#N/A,FALSE,"Yearly SAIDI";#N/A,#N/A,FALSE,"Monthly MAIFI";#N/A,#N/A,FALSE,"Yearly MAIFI";#N/A,#N/A,FALSE,"Monthly Cust &gt;=4 Int"}</definedName>
    <definedName name="aa" hidden="1">{#N/A,#N/A,FALSE,"Monthly SAIFI";#N/A,#N/A,FALSE,"Yearly SAIFI";#N/A,#N/A,FALSE,"Monthly CAIDI";#N/A,#N/A,FALSE,"Yearly CAIDI";#N/A,#N/A,FALSE,"Monthly SAIDI";#N/A,#N/A,FALSE,"Yearly SAIDI";#N/A,#N/A,FALSE,"Monthly MAIFI";#N/A,#N/A,FALSE,"Yearly MAIFI";#N/A,#N/A,FALSE,"Monthly Cust &gt;=4 Int"}</definedName>
    <definedName name="AAL">#REF!</definedName>
    <definedName name="AALDR">#REF!</definedName>
    <definedName name="AALSAP">#REF!</definedName>
    <definedName name="ac" hidden="1">{#N/A,#N/A,FALSE,"Monthly SAIFI";#N/A,#N/A,FALSE,"Yearly SAIFI";#N/A,#N/A,FALSE,"Monthly CAIDI";#N/A,#N/A,FALSE,"Yearly CAIDI";#N/A,#N/A,FALSE,"Monthly SAIDI";#N/A,#N/A,FALSE,"Yearly SAIDI";#N/A,#N/A,FALSE,"Monthly MAIFI";#N/A,#N/A,FALSE,"Yearly MAIFI";#N/A,#N/A,FALSE,"Monthly Cust &gt;=4 Int"}</definedName>
    <definedName name="ACCTG_SERV">#REF!</definedName>
    <definedName name="acx" hidden="1">{#N/A,#N/A,FALSE,"Monthly SAIFI";#N/A,#N/A,FALSE,"Yearly SAIFI";#N/A,#N/A,FALSE,"Monthly CAIDI";#N/A,#N/A,FALSE,"Yearly CAIDI";#N/A,#N/A,FALSE,"Monthly SAIDI";#N/A,#N/A,FALSE,"Yearly SAIDI";#N/A,#N/A,FALSE,"Monthly MAIFI";#N/A,#N/A,FALSE,"Yearly MAIFI";#N/A,#N/A,FALSE,"Monthly Cust &gt;=4 Int"}</definedName>
    <definedName name="adfsadfds" hidden="1">{#N/A,#N/A,FALSE,"Monthly SAIFI";#N/A,#N/A,FALSE,"Yearly SAIFI";#N/A,#N/A,FALSE,"Monthly CAIDI";#N/A,#N/A,FALSE,"Yearly CAIDI";#N/A,#N/A,FALSE,"Monthly SAIDI";#N/A,#N/A,FALSE,"Yearly SAIDI";#N/A,#N/A,FALSE,"Monthly MAIFI";#N/A,#N/A,FALSE,"Yearly MAIFI";#N/A,#N/A,FALSE,"Monthly Cust &gt;=4 Int"}</definedName>
    <definedName name="AIP" hidden="1">{#N/A,#N/A,FALSE,"Monthly SAIFI";#N/A,#N/A,FALSE,"Yearly SAIFI";#N/A,#N/A,FALSE,"Monthly CAIDI";#N/A,#N/A,FALSE,"Yearly CAIDI";#N/A,#N/A,FALSE,"Monthly SAIDI";#N/A,#N/A,FALSE,"Yearly SAIDI";#N/A,#N/A,FALSE,"Monthly MAIFI";#N/A,#N/A,FALSE,"Yearly MAIFI";#N/A,#N/A,FALSE,"Monthly Cust &gt;=4 Int"}</definedName>
    <definedName name="aircgrtm1">#REF!</definedName>
    <definedName name="aircgrtm2">#REF!</definedName>
    <definedName name="aircgrtm3">#REF!</definedName>
    <definedName name="aircgrtm4">#REF!</definedName>
    <definedName name="airctm1">#REF!</definedName>
    <definedName name="airctm2">#REF!</definedName>
    <definedName name="airctm3">#REF!</definedName>
    <definedName name="airctm4">#REF!</definedName>
    <definedName name="ALERT1">#REF!</definedName>
    <definedName name="ALERT2">#REF!</definedName>
    <definedName name="ALERT3">#REF!</definedName>
    <definedName name="ALL_SENS_FACT">#REF!</definedName>
    <definedName name="ALLYRS_MESSAGE">#REF!</definedName>
    <definedName name="alsdfa" hidden="1">{#N/A,#N/A,FALSE,"Monthly SAIFI";#N/A,#N/A,FALSE,"Yearly SAIFI";#N/A,#N/A,FALSE,"Monthly CAIDI";#N/A,#N/A,FALSE,"Yearly CAIDI";#N/A,#N/A,FALSE,"Monthly SAIDI";#N/A,#N/A,FALSE,"Yearly SAIDI";#N/A,#N/A,FALSE,"Monthly MAIFI";#N/A,#N/A,FALSE,"Yearly MAIFI";#N/A,#N/A,FALSE,"Monthly Cust &gt;=4 Int"}</definedName>
    <definedName name="anish">#REF!</definedName>
    <definedName name="anish21212">#REF!</definedName>
    <definedName name="Annual">#REF!</definedName>
    <definedName name="anscount" hidden="1">1</definedName>
    <definedName name="APA">#REF!</definedName>
    <definedName name="Apr">#REF!</definedName>
    <definedName name="apr2pre">#REF!</definedName>
    <definedName name="April">#REF!</definedName>
    <definedName name="APV">#REF!</definedName>
    <definedName name="AS2DocOpenMode" hidden="1">"AS2DocumentEdit"</definedName>
    <definedName name="ASD">#REF!</definedName>
    <definedName name="asdada">#REF!</definedName>
    <definedName name="asdasda">#REF!</definedName>
    <definedName name="asdf" hidden="1">{#N/A,#N/A,FALSE,"Monthly SAIFI";#N/A,#N/A,FALSE,"Yearly SAIFI";#N/A,#N/A,FALSE,"Monthly CAIDI";#N/A,#N/A,FALSE,"Yearly CAIDI";#N/A,#N/A,FALSE,"Monthly SAIDI";#N/A,#N/A,FALSE,"Yearly SAIDI";#N/A,#N/A,FALSE,"Monthly MAIFI";#N/A,#N/A,FALSE,"Yearly MAIFI";#N/A,#N/A,FALSE,"Monthly Cust &gt;=4 Int"}</definedName>
    <definedName name="asdfasdfasdfasdfsdfa" hidden="1">{#N/A,#N/A,FALSE,"Monthly SAIFI";#N/A,#N/A,FALSE,"Yearly SAIFI";#N/A,#N/A,FALSE,"Monthly CAIDI";#N/A,#N/A,FALSE,"Yearly CAIDI";#N/A,#N/A,FALSE,"Monthly SAIDI";#N/A,#N/A,FALSE,"Yearly SAIDI";#N/A,#N/A,FALSE,"Monthly MAIFI";#N/A,#N/A,FALSE,"Yearly MAIFI";#N/A,#N/A,FALSE,"Monthly Cust &gt;=4 Int"}</definedName>
    <definedName name="asdfasfasf">#REF!</definedName>
    <definedName name="asdfsd">#REF!</definedName>
    <definedName name="asfas">#REF!</definedName>
    <definedName name="asfasdfasfasfsadf">#REF!</definedName>
    <definedName name="asfsdfsdfsdfsfwer">#REF!</definedName>
    <definedName name="asfsdfsfs">#REF!</definedName>
    <definedName name="asfsft">#REF!</definedName>
    <definedName name="ashaita" hidden="1">{#N/A,#N/A,FALSE,"Monthly SAIFI";#N/A,#N/A,FALSE,"Yearly SAIFI";#N/A,#N/A,FALSE,"Monthly CAIDI";#N/A,#N/A,FALSE,"Yearly CAIDI";#N/A,#N/A,FALSE,"Monthly SAIDI";#N/A,#N/A,FALSE,"Yearly SAIDI";#N/A,#N/A,FALSE,"Monthly MAIFI";#N/A,#N/A,FALSE,"Yearly MAIFI";#N/A,#N/A,FALSE,"Monthly Cust &gt;=4 Int"}</definedName>
    <definedName name="ashia">#REF!</definedName>
    <definedName name="ashita">#REF!</definedName>
    <definedName name="asrada">#REF!</definedName>
    <definedName name="assd" hidden="1">{#N/A,#N/A,FALSE,"Monthly SAIFI";#N/A,#N/A,FALSE,"Yearly SAIFI";#N/A,#N/A,FALSE,"Monthly CAIDI";#N/A,#N/A,FALSE,"Yearly CAIDI";#N/A,#N/A,FALSE,"Monthly SAIDI";#N/A,#N/A,FALSE,"Yearly SAIDI";#N/A,#N/A,FALSE,"Monthly MAIFI";#N/A,#N/A,FALSE,"Yearly MAIFI";#N/A,#N/A,FALSE,"Monthly Cust &gt;=4 Int"}</definedName>
    <definedName name="Asset_Management">#REF!</definedName>
    <definedName name="Asset_Management_">#REF!</definedName>
    <definedName name="Aug">#REF!</definedName>
    <definedName name="AugNEW">#REF!</definedName>
    <definedName name="August">#REF!</definedName>
    <definedName name="b" hidden="1">{#N/A,#N/A,FALSE,"Monthly SAIFI";#N/A,#N/A,FALSE,"Yearly SAIFI";#N/A,#N/A,FALSE,"Monthly CAIDI";#N/A,#N/A,FALSE,"Yearly CAIDI";#N/A,#N/A,FALSE,"Monthly SAIDI";#N/A,#N/A,FALSE,"Yearly SAIDI";#N/A,#N/A,FALSE,"Monthly MAIFI";#N/A,#N/A,FALSE,"Yearly MAIFI";#N/A,#N/A,FALSE,"Monthly Cust &gt;=4 Int"}</definedName>
    <definedName name="Balance_Sheet">#REF!</definedName>
    <definedName name="Base">#REF!</definedName>
    <definedName name="BASE_MESSAGE">#REF!</definedName>
    <definedName name="BASE_SENS_FACT">#REF!</definedName>
    <definedName name="Baseline">#REF!</definedName>
    <definedName name="beny" hidden="1">{#N/A,#N/A,FALSE,"Monthly SAIFI";#N/A,#N/A,FALSE,"Yearly SAIFI";#N/A,#N/A,FALSE,"Monthly CAIDI";#N/A,#N/A,FALSE,"Yearly CAIDI";#N/A,#N/A,FALSE,"Monthly SAIDI";#N/A,#N/A,FALSE,"Yearly SAIDI";#N/A,#N/A,FALSE,"Monthly MAIFI";#N/A,#N/A,FALSE,"Yearly MAIFI";#N/A,#N/A,FALSE,"Monthly Cust &gt;=4 Int"}</definedName>
    <definedName name="BGS_Auction_Cost">#REF!</definedName>
    <definedName name="BGS_Forecast">#REF!</definedName>
    <definedName name="BGS_Rate">#REF!</definedName>
    <definedName name="BILLED_KWHs">#REF!</definedName>
    <definedName name="BILLED_KWHsNEW">#REF!</definedName>
    <definedName name="Brett0416">#REF!</definedName>
    <definedName name="Brett042">#REF!</definedName>
    <definedName name="brett0421">#REF!</definedName>
    <definedName name="Brett0423">#REF!</definedName>
    <definedName name="Brett0602">#REF!</definedName>
    <definedName name="Brett404">#REF!</definedName>
    <definedName name="Brett407">#REF!</definedName>
    <definedName name="Brett409">#REF!</definedName>
    <definedName name="Brett411">#REF!</definedName>
    <definedName name="Brett419">#REF!</definedName>
    <definedName name="bvvlhlkhjl">#REF!</definedName>
    <definedName name="C_">#REF!</definedName>
    <definedName name="CalculationComEd">#REF!</definedName>
    <definedName name="CalculationsC3">#REF!</definedName>
    <definedName name="CalculationsC4">#REF!</definedName>
    <definedName name="CalculationsC5">#REF!</definedName>
    <definedName name="CalculationsP3">#REF!</definedName>
    <definedName name="CalculationsP4">#REF!</definedName>
    <definedName name="CalculationsP5">#REF!</definedName>
    <definedName name="CalculationsP6">#REF!</definedName>
    <definedName name="Capital">#REF!</definedName>
    <definedName name="cbcvbcv" hidden="1">{#N/A,#N/A,FALSE,"Monthly SAIFI";#N/A,#N/A,FALSE,"Yearly SAIFI";#N/A,#N/A,FALSE,"Monthly CAIDI";#N/A,#N/A,FALSE,"Yearly CAIDI";#N/A,#N/A,FALSE,"Monthly SAIDI";#N/A,#N/A,FALSE,"Yearly SAIDI";#N/A,#N/A,FALSE,"Monthly MAIFI";#N/A,#N/A,FALSE,"Yearly MAIFI";#N/A,#N/A,FALSE,"Monthly Cust &gt;=4 Int"}</definedName>
    <definedName name="CBT">#REF!</definedName>
    <definedName name="CBWorkbookPriority" hidden="1">-250256570</definedName>
    <definedName name="ccbbcvbc" hidden="1">{#N/A,#N/A,FALSE,"Monthly SAIFI";#N/A,#N/A,FALSE,"Yearly SAIFI";#N/A,#N/A,FALSE,"Monthly CAIDI";#N/A,#N/A,FALSE,"Yearly CAIDI";#N/A,#N/A,FALSE,"Monthly SAIDI";#N/A,#N/A,FALSE,"Yearly SAIDI";#N/A,#N/A,FALSE,"Monthly MAIFI";#N/A,#N/A,FALSE,"Yearly MAIFI";#N/A,#N/A,FALSE,"Monthly Cust &gt;=4 Int"}</definedName>
    <definedName name="CEP">#REF!</definedName>
    <definedName name="CH_COS" localSheetId="0">#REF!</definedName>
    <definedName name="ClaculationC">#REF!</definedName>
    <definedName name="ClaculationP">#REF!</definedName>
    <definedName name="ClaculationsC">#REF!</definedName>
    <definedName name="Class">#REF!</definedName>
    <definedName name="CLDR">#REF!</definedName>
    <definedName name="COMMONWEALTH_EDISON_COMPANY">#REF!</definedName>
    <definedName name="complex">#REF!</definedName>
    <definedName name="CONVERT_IT">#REF!</definedName>
    <definedName name="CONVERT_RTN">#REF!</definedName>
    <definedName name="CUR_SENS_FACT">#REF!</definedName>
    <definedName name="CURRENT_MESSAGE">#REF!</definedName>
    <definedName name="CurrentEndDate">#REF!</definedName>
    <definedName name="Curve_Date">#REF!</definedName>
    <definedName name="d" hidden="1">{#N/A,#N/A,TRUE,"TAXPROV";#N/A,#N/A,TRUE,"FLOWTHRU";#N/A,#N/A,TRUE,"SCHEDULE M'S";#N/A,#N/A,TRUE,"PLANT M'S";#N/A,#N/A,TRUE,"TAXJE"}</definedName>
    <definedName name="dadasdas">#REF!</definedName>
    <definedName name="DASDD" hidden="1">{#N/A,#N/A,FALSE,"Monthly SAIFI";#N/A,#N/A,FALSE,"Yearly SAIFI";#N/A,#N/A,FALSE,"Monthly CAIDI";#N/A,#N/A,FALSE,"Yearly CAIDI";#N/A,#N/A,FALSE,"Monthly SAIDI";#N/A,#N/A,FALSE,"Yearly SAIDI";#N/A,#N/A,FALSE,"Monthly MAIFI";#N/A,#N/A,FALSE,"Yearly MAIFI";#N/A,#N/A,FALSE,"Monthly Cust &gt;=4 Int"}</definedName>
    <definedName name="Data">#REF!</definedName>
    <definedName name="DATA1">#REF!</definedName>
    <definedName name="DATA10">#REF!</definedName>
    <definedName name="DATA11">#REF!</definedName>
    <definedName name="DATA12">#REF!</definedName>
    <definedName name="DATA13">#REF!</definedName>
    <definedName name="DATA2">#REF!</definedName>
    <definedName name="DATA3">#REF!</definedName>
    <definedName name="DATA4">#REF!</definedName>
    <definedName name="DATA5">#REF!</definedName>
    <definedName name="DATA6">#REF!</definedName>
    <definedName name="DATA7">#REF!</definedName>
    <definedName name="DATA8">#REF!</definedName>
    <definedName name="DATA9">#REF!</definedName>
    <definedName name="Database2">#REF!</definedName>
    <definedName name="DATAFEEDER">[0]!DATAFEEDER</definedName>
    <definedName name="DateNumber">#REF!</definedName>
    <definedName name="DateNumberCurrentPrior">#REF!</definedName>
    <definedName name="DateNumberQtrPrior">#REF!</definedName>
    <definedName name="DateNumberYearEndPrior">#REF!</definedName>
    <definedName name="DateText">#REF!</definedName>
    <definedName name="dd" hidden="1">{#N/A,#N/A,FALSE,"Monthly SAIFI";#N/A,#N/A,FALSE,"Yearly SAIFI";#N/A,#N/A,FALSE,"Monthly CAIDI";#N/A,#N/A,FALSE,"Yearly CAIDI";#N/A,#N/A,FALSE,"Monthly SAIDI";#N/A,#N/A,FALSE,"Yearly SAIDI";#N/A,#N/A,FALSE,"Monthly MAIFI";#N/A,#N/A,FALSE,"Yearly MAIFI";#N/A,#N/A,FALSE,"Monthly Cust &gt;=4 Int"}</definedName>
    <definedName name="dddd">#REF!</definedName>
    <definedName name="ddfsaf" hidden="1">{#N/A,#N/A,FALSE,"Monthly SAIFI";#N/A,#N/A,FALSE,"Yearly SAIFI";#N/A,#N/A,FALSE,"Monthly CAIDI";#N/A,#N/A,FALSE,"Yearly CAIDI";#N/A,#N/A,FALSE,"Monthly SAIDI";#N/A,#N/A,FALSE,"Yearly SAIDI";#N/A,#N/A,FALSE,"Monthly MAIFI";#N/A,#N/A,FALSE,"Yearly MAIFI";#N/A,#N/A,FALSE,"Monthly Cust &gt;=4 Int"}</definedName>
    <definedName name="de">#REF!</definedName>
    <definedName name="Dec">#REF!</definedName>
    <definedName name="Decommissioning_Rate">#REF!</definedName>
    <definedName name="decpd">#REF!</definedName>
    <definedName name="DELAWARE">#REF!</definedName>
    <definedName name="deplr">#REF!</definedName>
    <definedName name="deytd">#REF!</definedName>
    <definedName name="dfasdfsdfZX" hidden="1">{#N/A,#N/A,FALSE,"Monthly SAIFI";#N/A,#N/A,FALSE,"Yearly SAIFI";#N/A,#N/A,FALSE,"Monthly CAIDI";#N/A,#N/A,FALSE,"Yearly CAIDI";#N/A,#N/A,FALSE,"Monthly SAIDI";#N/A,#N/A,FALSE,"Yearly SAIDI";#N/A,#N/A,FALSE,"Monthly MAIFI";#N/A,#N/A,FALSE,"Yearly MAIFI";#N/A,#N/A,FALSE,"Monthly Cust &gt;=4 Int"}</definedName>
    <definedName name="dfd">36787.5547596065</definedName>
    <definedName name="dfdffgdfgd">#REF!</definedName>
    <definedName name="dfdsfs" hidden="1">{#N/A,#N/A,FALSE,"Monthly SAIFI";#N/A,#N/A,FALSE,"Yearly SAIFI";#N/A,#N/A,FALSE,"Monthly CAIDI";#N/A,#N/A,FALSE,"Yearly CAIDI";#N/A,#N/A,FALSE,"Monthly SAIDI";#N/A,#N/A,FALSE,"Yearly SAIDI";#N/A,#N/A,FALSE,"Monthly MAIFI";#N/A,#N/A,FALSE,"Yearly MAIFI";#N/A,#N/A,FALSE,"Monthly Cust &gt;=4 Int"}</definedName>
    <definedName name="dfgdfgh">#REF!</definedName>
    <definedName name="dfsasdfasdfsdfasdfasdf" hidden="1">{#N/A,#N/A,FALSE,"Monthly SAIFI";#N/A,#N/A,FALSE,"Yearly SAIFI";#N/A,#N/A,FALSE,"Monthly CAIDI";#N/A,#N/A,FALSE,"Yearly CAIDI";#N/A,#N/A,FALSE,"Monthly SAIDI";#N/A,#N/A,FALSE,"Yearly SAIDI";#N/A,#N/A,FALSE,"Monthly MAIFI";#N/A,#N/A,FALSE,"Yearly MAIFI";#N/A,#N/A,FALSE,"Monthly Cust &gt;=4 Int"}</definedName>
    <definedName name="dfsasdfasfs">#REF!</definedName>
    <definedName name="dfsdfsf">#REF!</definedName>
    <definedName name="dfsfasfasfs">#REF!</definedName>
    <definedName name="Discount10">#REF!</definedName>
    <definedName name="Discount11">#REF!</definedName>
    <definedName name="Discount12">#REF!</definedName>
    <definedName name="Discount13">#REF!</definedName>
    <definedName name="Discount14">#REF!</definedName>
    <definedName name="Discount15">#REF!</definedName>
    <definedName name="Discount2">#REF!</definedName>
    <definedName name="Discount3">#REF!</definedName>
    <definedName name="Discount4">#REF!</definedName>
    <definedName name="Discount5">#REF!</definedName>
    <definedName name="Discount6">#REF!</definedName>
    <definedName name="Discount7">#REF!</definedName>
    <definedName name="Discount8">#REF!</definedName>
    <definedName name="Discount9">#REF!</definedName>
    <definedName name="discrate">#REF!</definedName>
    <definedName name="Distribution_Rate_Adjustment">#REF!</definedName>
    <definedName name="DP1875TB">#REF!</definedName>
    <definedName name="dpl">#REF!</definedName>
    <definedName name="dplcpd">#REF!</definedName>
    <definedName name="dplplr">#REF!</definedName>
    <definedName name="DPLYTD">#REF!</definedName>
    <definedName name="DR">#REF!</definedName>
    <definedName name="dskdlss" hidden="1">{#N/A,#N/A,FALSE,"Monthly SAIFI";#N/A,#N/A,FALSE,"Yearly SAIFI";#N/A,#N/A,FALSE,"Monthly CAIDI";#N/A,#N/A,FALSE,"Yearly CAIDI";#N/A,#N/A,FALSE,"Monthly SAIDI";#N/A,#N/A,FALSE,"Yearly SAIDI";#N/A,#N/A,FALSE,"Monthly MAIFI";#N/A,#N/A,FALSE,"Yearly MAIFI";#N/A,#N/A,FALSE,"Monthly Cust &gt;=4 Int"}</definedName>
    <definedName name="DSM_Rate">#REF!</definedName>
    <definedName name="E">#REF!</definedName>
    <definedName name="eaewq">#REF!</definedName>
    <definedName name="EASTERN">#REF!</definedName>
    <definedName name="edred" hidden="1">{#N/A,#N/A,FALSE,"Monthly SAIFI";#N/A,#N/A,FALSE,"Yearly SAIFI";#N/A,#N/A,FALSE,"Monthly CAIDI";#N/A,#N/A,FALSE,"Yearly CAIDI";#N/A,#N/A,FALSE,"Monthly SAIDI";#N/A,#N/A,FALSE,"Yearly SAIDI";#N/A,#N/A,FALSE,"Monthly MAIFI";#N/A,#N/A,FALSE,"Yearly MAIFI";#N/A,#N/A,FALSE,"Monthly Cust &gt;=4 Int"}</definedName>
    <definedName name="EED">#REF!</definedName>
    <definedName name="ELEC_CUST">#REF!</definedName>
    <definedName name="ELEC_REV">#REF!</definedName>
    <definedName name="ELEC_SALES">#REF!</definedName>
    <definedName name="empid">#REF!</definedName>
    <definedName name="EPG">#REF!</definedName>
    <definedName name="erser">#REF!</definedName>
    <definedName name="EssOptions">"1100000000130100_11-          00"</definedName>
    <definedName name="Estimated_Fair_Value">"fair_value"</definedName>
    <definedName name="EV__LASTREFTIME__" hidden="1">39853.6878472222</definedName>
    <definedName name="EXPENSES">#REF!</definedName>
    <definedName name="f" hidden="1">{#N/A,#N/A,TRUE,"TAXPROV";#N/A,#N/A,TRUE,"FLOWTHRU";#N/A,#N/A,TRUE,"SCHEDULE M'S";#N/A,#N/A,TRUE,"PLANT M'S";#N/A,#N/A,TRUE,"TAXJE"}</definedName>
    <definedName name="fafasfasf">#REF!</definedName>
    <definedName name="fasfsafasf">#REF!</definedName>
    <definedName name="fasfsdf">#REF!</definedName>
    <definedName name="FB_CUSTOMERS">#REF!</definedName>
    <definedName name="FB_LINES">#REF!</definedName>
    <definedName name="FDSDFSF" hidden="1">{#N/A,#N/A,FALSE,"Monthly SAIFI";#N/A,#N/A,FALSE,"Yearly SAIFI";#N/A,#N/A,FALSE,"Monthly CAIDI";#N/A,#N/A,FALSE,"Yearly CAIDI";#N/A,#N/A,FALSE,"Monthly SAIDI";#N/A,#N/A,FALSE,"Yearly SAIDI";#N/A,#N/A,FALSE,"Monthly MAIFI";#N/A,#N/A,FALSE,"Yearly MAIFI";#N/A,#N/A,FALSE,"Monthly Cust &gt;=4 Int"}</definedName>
    <definedName name="fdsfafs">#REF!</definedName>
    <definedName name="Feb">#REF!</definedName>
    <definedName name="FERC.ICC">#REF!</definedName>
    <definedName name="ff" hidden="1">{#N/A,#N/A,FALSE,"Monthly SAIFI";#N/A,#N/A,FALSE,"Yearly SAIFI";#N/A,#N/A,FALSE,"Monthly CAIDI";#N/A,#N/A,FALSE,"Yearly CAIDI";#N/A,#N/A,FALSE,"Monthly SAIDI";#N/A,#N/A,FALSE,"Yearly SAIDI";#N/A,#N/A,FALSE,"Monthly MAIFI";#N/A,#N/A,FALSE,"Yearly MAIFI";#N/A,#N/A,FALSE,"Monthly Cust &gt;=4 Int"}</definedName>
    <definedName name="fff" hidden="1">{#N/A,#N/A,FALSE,"Monthly SAIFI";#N/A,#N/A,FALSE,"Yearly SAIFI";#N/A,#N/A,FALSE,"Monthly CAIDI";#N/A,#N/A,FALSE,"Yearly CAIDI";#N/A,#N/A,FALSE,"Monthly SAIDI";#N/A,#N/A,FALSE,"Yearly SAIDI";#N/A,#N/A,FALSE,"Monthly MAIFI";#N/A,#N/A,FALSE,"Yearly MAIFI";#N/A,#N/A,FALSE,"Monthly Cust &gt;=4 Int"}</definedName>
    <definedName name="fghjghjfgjf" hidden="1">{#N/A,#N/A,FALSE,"Monthly SAIFI";#N/A,#N/A,FALSE,"Yearly SAIFI";#N/A,#N/A,FALSE,"Monthly CAIDI";#N/A,#N/A,FALSE,"Yearly CAIDI";#N/A,#N/A,FALSE,"Monthly SAIDI";#N/A,#N/A,FALSE,"Yearly SAIDI";#N/A,#N/A,FALSE,"Monthly MAIFI";#N/A,#N/A,FALSE,"Yearly MAIFI";#N/A,#N/A,FALSE,"Monthly Cust &gt;=4 Int"}</definedName>
    <definedName name="final">#REF!</definedName>
    <definedName name="FinDate">#REF!</definedName>
    <definedName name="fjriesmd">#REF!</definedName>
    <definedName name="FORMULA">#REF!+#REF!+#REF!</definedName>
    <definedName name="Fossil_Divest">#REF!</definedName>
    <definedName name="fsafsfsaf">#REF!</definedName>
    <definedName name="fsdafasf" hidden="1">{#N/A,#N/A,FALSE,"Monthly SAIFI";#N/A,#N/A,FALSE,"Yearly SAIFI";#N/A,#N/A,FALSE,"Monthly CAIDI";#N/A,#N/A,FALSE,"Yearly CAIDI";#N/A,#N/A,FALSE,"Monthly SAIDI";#N/A,#N/A,FALSE,"Yearly SAIDI";#N/A,#N/A,FALSE,"Monthly MAIFI";#N/A,#N/A,FALSE,"Yearly MAIFI";#N/A,#N/A,FALSE,"Monthly Cust &gt;=4 Int"}</definedName>
    <definedName name="fsdf">#REF!</definedName>
    <definedName name="fsdfaf">#REF!</definedName>
    <definedName name="fsdfas">#REF!</definedName>
    <definedName name="fsdfsd">#REF!</definedName>
    <definedName name="fsdfsdfas">#REF!</definedName>
    <definedName name="fsdfsdfsfs">#REF!</definedName>
    <definedName name="fsdfsfs" hidden="1">{#N/A,#N/A,FALSE,"Monthly SAIFI";#N/A,#N/A,FALSE,"Yearly SAIFI";#N/A,#N/A,FALSE,"Monthly CAIDI";#N/A,#N/A,FALSE,"Yearly CAIDI";#N/A,#N/A,FALSE,"Monthly SAIDI";#N/A,#N/A,FALSE,"Yearly SAIDI";#N/A,#N/A,FALSE,"Monthly MAIFI";#N/A,#N/A,FALSE,"Yearly MAIFI";#N/A,#N/A,FALSE,"Monthly Cust &gt;=4 Int"}</definedName>
    <definedName name="fsdfsfsdfasfa" hidden="1">{#N/A,#N/A,FALSE,"Monthly SAIFI";#N/A,#N/A,FALSE,"Yearly SAIFI";#N/A,#N/A,FALSE,"Monthly CAIDI";#N/A,#N/A,FALSE,"Yearly CAIDI";#N/A,#N/A,FALSE,"Monthly SAIDI";#N/A,#N/A,FALSE,"Yearly SAIDI";#N/A,#N/A,FALSE,"Monthly MAIFI";#N/A,#N/A,FALSE,"Yearly MAIFI";#N/A,#N/A,FALSE,"Monthly Cust &gt;=4 Int"}</definedName>
    <definedName name="fsdfsfsf">#REF!</definedName>
    <definedName name="fsdfwer">#REF!</definedName>
    <definedName name="fsfsafkskfsf">#REF!</definedName>
    <definedName name="fsfsafs">#REF!</definedName>
    <definedName name="fsfsfsafasf" hidden="1">{#N/A,#N/A,FALSE,"Monthly SAIFI";#N/A,#N/A,FALSE,"Yearly SAIFI";#N/A,#N/A,FALSE,"Monthly CAIDI";#N/A,#N/A,FALSE,"Yearly CAIDI";#N/A,#N/A,FALSE,"Monthly SAIDI";#N/A,#N/A,FALSE,"Yearly SAIDI";#N/A,#N/A,FALSE,"Monthly MAIFI";#N/A,#N/A,FALSE,"Yearly MAIFI";#N/A,#N/A,FALSE,"Monthly Cust &gt;=4 Int"}</definedName>
    <definedName name="fwrwerwerwerwer" hidden="1">{#N/A,#N/A,FALSE,"Monthly SAIFI";#N/A,#N/A,FALSE,"Yearly SAIFI";#N/A,#N/A,FALSE,"Monthly CAIDI";#N/A,#N/A,FALSE,"Yearly CAIDI";#N/A,#N/A,FALSE,"Monthly SAIDI";#N/A,#N/A,FALSE,"Yearly SAIDI";#N/A,#N/A,FALSE,"Monthly MAIFI";#N/A,#N/A,FALSE,"Yearly MAIFI";#N/A,#N/A,FALSE,"Monthly Cust &gt;=4 Int"}</definedName>
    <definedName name="FY4D">#REF!</definedName>
    <definedName name="g" hidden="1">{#N/A,#N/A,FALSE,"O&amp;M by processes";#N/A,#N/A,FALSE,"Elec Act vs Bud";#N/A,#N/A,FALSE,"G&amp;A";#N/A,#N/A,FALSE,"BGS";#N/A,#N/A,FALSE,"Res Cost"}</definedName>
    <definedName name="GAM83M">#REF!</definedName>
    <definedName name="gas">#REF!</definedName>
    <definedName name="gasytd">#REF!</definedName>
    <definedName name="gdfgdgdg">#REF!</definedName>
    <definedName name="GENERAL_HELP">#REF!</definedName>
    <definedName name="gfhfhfdhg">#REF!</definedName>
    <definedName name="gg" hidden="1">{#N/A,#N/A,FALSE,"O&amp;M by processes";#N/A,#N/A,FALSE,"Elec Act vs Bud";#N/A,#N/A,FALSE,"G&amp;A";#N/A,#N/A,FALSE,"BGS";#N/A,#N/A,FALSE,"Res Cost"}</definedName>
    <definedName name="ghjgfj" hidden="1">{#N/A,#N/A,FALSE,"Monthly SAIFI";#N/A,#N/A,FALSE,"Yearly SAIFI";#N/A,#N/A,FALSE,"Monthly CAIDI";#N/A,#N/A,FALSE,"Yearly CAIDI";#N/A,#N/A,FALSE,"Monthly SAIDI";#N/A,#N/A,FALSE,"Yearly SAIDI";#N/A,#N/A,FALSE,"Monthly MAIFI";#N/A,#N/A,FALSE,"Yearly MAIFI";#N/A,#N/A,FALSE,"Monthly Cust &gt;=4 Int"}</definedName>
    <definedName name="ghjgfjfj" hidden="1">{#N/A,#N/A,FALSE,"Monthly SAIFI";#N/A,#N/A,FALSE,"Yearly SAIFI";#N/A,#N/A,FALSE,"Monthly CAIDI";#N/A,#N/A,FALSE,"Yearly CAIDI";#N/A,#N/A,FALSE,"Monthly SAIDI";#N/A,#N/A,FALSE,"Yearly SAIDI";#N/A,#N/A,FALSE,"Monthly MAIFI";#N/A,#N/A,FALSE,"Yearly MAIFI";#N/A,#N/A,FALSE,"Monthly Cust &gt;=4 Int"}</definedName>
    <definedName name="ghjgfjg" hidden="1">{#N/A,#N/A,FALSE,"Monthly SAIFI";#N/A,#N/A,FALSE,"Yearly SAIFI";#N/A,#N/A,FALSE,"Monthly CAIDI";#N/A,#N/A,FALSE,"Yearly CAIDI";#N/A,#N/A,FALSE,"Monthly SAIDI";#N/A,#N/A,FALSE,"Yearly SAIDI";#N/A,#N/A,FALSE,"Monthly MAIFI";#N/A,#N/A,FALSE,"Yearly MAIFI";#N/A,#N/A,FALSE,"Monthly Cust &gt;=4 Int"}</definedName>
    <definedName name="ghjgjgfjf" hidden="1">{#N/A,#N/A,FALSE,"Monthly SAIFI";#N/A,#N/A,FALSE,"Yearly SAIFI";#N/A,#N/A,FALSE,"Monthly CAIDI";#N/A,#N/A,FALSE,"Yearly CAIDI";#N/A,#N/A,FALSE,"Monthly SAIDI";#N/A,#N/A,FALSE,"Yearly SAIDI";#N/A,#N/A,FALSE,"Monthly MAIFI";#N/A,#N/A,FALSE,"Yearly MAIFI";#N/A,#N/A,FALSE,"Monthly Cust &gt;=4 Int"}</definedName>
    <definedName name="goaway" hidden="1">{#N/A,#N/A,TRUE,"TAXPROV";#N/A,#N/A,TRUE,"FLOWTHRU";#N/A,#N/A,TRUE,"SCHEDULE M'S";#N/A,#N/A,TRUE,"PLANT M'S";#N/A,#N/A,TRUE,"TAXJE"}</definedName>
    <definedName name="GPURS">#REF!</definedName>
    <definedName name="GRAPH_SELECT">#REF!</definedName>
    <definedName name="GRAPH_TABLE">#REF!</definedName>
    <definedName name="GVKey">""</definedName>
    <definedName name="h" hidden="1">{#N/A,#N/A,FALSE,"Monthly SAIFI";#N/A,#N/A,FALSE,"Yearly SAIFI";#N/A,#N/A,FALSE,"Monthly CAIDI";#N/A,#N/A,FALSE,"Yearly CAIDI";#N/A,#N/A,FALSE,"Monthly SAIDI";#N/A,#N/A,FALSE,"Yearly SAIDI";#N/A,#N/A,FALSE,"Monthly MAIFI";#N/A,#N/A,FALSE,"Yearly MAIFI";#N/A,#N/A,FALSE,"Monthly Cust &gt;=4 Int"}</definedName>
    <definedName name="HELP_LOCATOR">#REF!</definedName>
    <definedName name="hh" hidden="1">{#N/A,#N/A,FALSE,"Monthly SAIFI";#N/A,#N/A,FALSE,"Yearly SAIFI";#N/A,#N/A,FALSE,"Monthly CAIDI";#N/A,#N/A,FALSE,"Yearly CAIDI";#N/A,#N/A,FALSE,"Monthly SAIDI";#N/A,#N/A,FALSE,"Yearly SAIDI";#N/A,#N/A,FALSE,"Monthly MAIFI";#N/A,#N/A,FALSE,"Yearly MAIFI";#N/A,#N/A,FALSE,"Monthly Cust &gt;=4 Int"}</definedName>
    <definedName name="hhifgfcgfcg">#REF!</definedName>
    <definedName name="hjfjghjgfjgj" hidden="1">{#N/A,#N/A,FALSE,"Monthly SAIFI";#N/A,#N/A,FALSE,"Yearly SAIFI";#N/A,#N/A,FALSE,"Monthly CAIDI";#N/A,#N/A,FALSE,"Yearly CAIDI";#N/A,#N/A,FALSE,"Monthly SAIDI";#N/A,#N/A,FALSE,"Yearly SAIDI";#N/A,#N/A,FALSE,"Monthly MAIFI";#N/A,#N/A,FALSE,"Yearly MAIFI";#N/A,#N/A,FALSE,"Monthly Cust &gt;=4 Int"}</definedName>
    <definedName name="hjghjgf" hidden="1">{#N/A,#N/A,FALSE,"Monthly SAIFI";#N/A,#N/A,FALSE,"Yearly SAIFI";#N/A,#N/A,FALSE,"Monthly CAIDI";#N/A,#N/A,FALSE,"Yearly CAIDI";#N/A,#N/A,FALSE,"Monthly SAIDI";#N/A,#N/A,FALSE,"Yearly SAIDI";#N/A,#N/A,FALSE,"Monthly MAIFI";#N/A,#N/A,FALSE,"Yearly MAIFI";#N/A,#N/A,FALSE,"Monthly Cust &gt;=4 Int"}</definedName>
    <definedName name="IDN">#REF!</definedName>
    <definedName name="ImplementDate">#REF!</definedName>
    <definedName name="Include_OTRA_Kwhrs">#REF!</definedName>
    <definedName name="INCOME">#REF!</definedName>
    <definedName name="INSERTRANGE">#REF!</definedName>
    <definedName name="int.rate">#REF!</definedName>
    <definedName name="interest">#REF!</definedName>
    <definedName name="interestrate">#REF!</definedName>
    <definedName name="INTSALE">#REF!</definedName>
    <definedName name="InvStratif">#REF!</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"XLL"</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BROKER_REC_NO_REUT" hidden="1">"c5315"</definedName>
    <definedName name="IQ_AVG_BROKER_REC_REUT" hidden="1">"c3630"</definedName>
    <definedName name="IQ_AVG_DAILY_VOL" hidden="1">"c65"</definedName>
    <definedName name="IQ_AVG_INDUSTRY_REC" hidden="1">"c4455"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FLOW_ACT_OR_EST" hidden="1">"c4154"</definedName>
    <definedName name="IQ_CASH_INTEREST" hidden="1">"c120"</definedName>
    <definedName name="IQ_CASH_INVEST" hidden="1">"c121"</definedName>
    <definedName name="IQ_CASH_OPER" hidden="1">"c122"</definedName>
    <definedName name="IQ_CASH_OPER_ACT_OR_EST" hidden="1">"c4164"</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OSITS_INTEREST_SECURITIES" hidden="1">"c5509"</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ACT_OR_EST" hidden="1">"c4278"</definedName>
    <definedName name="IQ_DISTRIBUTABLE_CASH_PAYOUT" hidden="1">"c3005"</definedName>
    <definedName name="IQ_DISTRIBUTABLE_CASH_SHARE" hidden="1">"c3003"</definedName>
    <definedName name="IQ_DISTRIBUTABLE_CASH_SHARE_ACT_OR_EST" hidden="1">"c4286"</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ARNINGS_ANNOUNCE_DATE_REUT" hidden="1">"c5314"</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EQ_INC" hidden="1">"c3498"</definedName>
    <definedName name="IQ_EBIT_EQ_INC_EXCL_SBC" hidden="1">"c3502"</definedName>
    <definedName name="IQ_EBIT_EXCL_SBC" hidden="1">"c3082"</definedName>
    <definedName name="IQ_EBIT_GW_ACT_OR_EST" hidden="1">"c4306"</definedName>
    <definedName name="IQ_EBIT_INT" hidden="1">"c360"</definedName>
    <definedName name="IQ_EBIT_MARGIN" hidden="1">"c359"</definedName>
    <definedName name="IQ_EBIT_OVER_IE" hidden="1">"c1369"</definedName>
    <definedName name="IQ_EBIT_SBC_ACT_OR_EST" hidden="1">"c4316"</definedName>
    <definedName name="IQ_EBIT_SBC_GW_ACT_OR_EST" hidden="1">"c4320"</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REUT" hidden="1">"c3640"</definedName>
    <definedName name="IQ_EBITDA_EXCL_SBC" hidden="1">"c3081"</definedName>
    <definedName name="IQ_EBITDA_HIGH_EST" hidden="1">"c370"</definedName>
    <definedName name="IQ_EBITDA_HIGH_EST_REUT" hidden="1">"c3642"</definedName>
    <definedName name="IQ_EBITDA_INT" hidden="1">"c373"</definedName>
    <definedName name="IQ_EBITDA_LOW_EST" hidden="1">"c371"</definedName>
    <definedName name="IQ_EBITDA_LOW_EST_REUT" hidden="1">"c3643"</definedName>
    <definedName name="IQ_EBITDA_MARGIN" hidden="1">"c372"</definedName>
    <definedName name="IQ_EBITDA_MEDIAN_EST" hidden="1">"c1663"</definedName>
    <definedName name="IQ_EBITDA_MEDIAN_EST_REUT" hidden="1">"c3641"</definedName>
    <definedName name="IQ_EBITDA_NUM_EST" hidden="1">"c374"</definedName>
    <definedName name="IQ_EBITDA_NUM_EST_REUT" hidden="1">"c3644"</definedName>
    <definedName name="IQ_EBITDA_OVER_TOTAL_IE" hidden="1">"c1371"</definedName>
    <definedName name="IQ_EBITDA_SBC_ACT_OR_EST" hidden="1">"c4337"</definedName>
    <definedName name="IQ_EBITDA_STDDEV_EST" hidden="1">"c375"</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SBC_ACT_OR_EST" hidden="1">"c4350"</definedName>
    <definedName name="IQ_EBT_SBC_GW_ACT_OR_EST" hidden="1">"c4354"</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EST_REUT" hidden="1">"c5453"</definedName>
    <definedName name="IQ_EPS_HIGH_EST" hidden="1">"c400"</definedName>
    <definedName name="IQ_EPS_HIGH_EST_REUT" hidden="1">"c5454"</definedName>
    <definedName name="IQ_EPS_LOW_EST" hidden="1">"c401"</definedName>
    <definedName name="IQ_EPS_LOW_EST_REUT" hidden="1">"c5455"</definedName>
    <definedName name="IQ_EPS_MEDIAN_EST" hidden="1">"c1661"</definedName>
    <definedName name="IQ_EPS_MEDIAN_EST_REUT" hidden="1">"c5456"</definedName>
    <definedName name="IQ_EPS_NORM" hidden="1">"c1902"</definedName>
    <definedName name="IQ_EPS_NUM_EST" hidden="1">"c402"</definedName>
    <definedName name="IQ_EPS_NUM_EST_REUT" hidden="1">"c5451"</definedName>
    <definedName name="IQ_EPS_SBC_ACT_OR_EST" hidden="1">"c4376"</definedName>
    <definedName name="IQ_EPS_SBC_GW_ACT_OR_EST" hidden="1">"c4380"</definedName>
    <definedName name="IQ_EPS_STDDEV_EST" hidden="1">"c403"</definedName>
    <definedName name="IQ_EPS_STDDEV_EST_REUT" hidden="1">"c5452"</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CURRENCY" hidden="1">"c2140"</definedName>
    <definedName name="IQ_EST_CURRENCY_REUT" hidden="1">"c5437"</definedName>
    <definedName name="IQ_EST_DATE" hidden="1">"c1634"</definedName>
    <definedName name="IQ_EST_DATE_REUT" hidden="1">"c5438"</definedName>
    <definedName name="IQ_EST_EPS_GROWTH_1YR" hidden="1">"c1636"</definedName>
    <definedName name="IQ_EST_EPS_GROWTH_1YR_REUT" hidden="1">"c3646"</definedName>
    <definedName name="IQ_EST_EPS_GROWTH_5YR" hidden="1">"c1655"</definedName>
    <definedName name="IQ_EST_EPS_GROWTH_5YR_REUT" hidden="1">"c3633"</definedName>
    <definedName name="IQ_EST_EPS_GROWTH_Q_1YR" hidden="1">"c1641"</definedName>
    <definedName name="IQ_EST_EPS_GROWTH_Q_1YR_REUT" hidden="1">"c5410"</definedName>
    <definedName name="IQ_EST_VENDOR" hidden="1">"c5564"</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DJ_ACT_OR_EST" hidden="1">"c4435"</definedName>
    <definedName name="IQ_FFO_PAYOUT_RATIO" hidden="1">"c3492"</definedName>
    <definedName name="IQ_FFO_SHARE_ACT_OR_EST" hidden="1">"c4446"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NOTES_PAY_TOTAL" hidden="1">"c5522"</definedName>
    <definedName name="IQ_FIN_DIV_REV" hidden="1">"c437"</definedName>
    <definedName name="IQ_FIN_DIV_ST_DEBT_TOTAL" hidden="1">"c5527"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_TARGET_PRICE_REUT" hidden="1">"c5317"</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NVEST_SECURITY_SUPPL" hidden="1">"c5511"</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_TARGET_PRICE_REUT" hidden="1">"c5318"</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CAPEX" hidden="1">"c2947"</definedName>
    <definedName name="IQ_MAINT_CAPEX_ACT_OR_EST" hidden="1">"c4458"</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REUT" hidden="1">"c4048"</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BC_ACT_OR_EST" hidden="1">"c4474"</definedName>
    <definedName name="IQ_NI_SBC_GW_ACT_OR_EST" hidden="1">"c4478"</definedName>
    <definedName name="IQ_NI_SFAS" hidden="1">"c795"</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MORT" hidden="1">"c5563"</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REUT" hidden="1">"c4049"</definedName>
    <definedName name="IQ_PE_NORMALIZED" hidden="1">"c2207"</definedName>
    <definedName name="IQ_PE_RATIO" hidden="1">"c1610"</definedName>
    <definedName name="IQ_PEG_FWD" hidden="1">"c1863"</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_TARGET_REUT" hidden="1">"c3631"</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CURRING_PROFIT_ACT_OR_EST" hidden="1">"c4507"</definedName>
    <definedName name="IQ_RECURRING_PROFIT_SHARE_ACT_OR_EST" hidden="1">"c4508"</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STDDEV_EST_REUT" hidden="1">"c3639"</definedName>
    <definedName name="IQ_REV_UTI" hidden="1">"c1125"</definedName>
    <definedName name="IQ_REVENUE" hidden="1">"c1422"</definedName>
    <definedName name="IQ_REVENUE_ACT_OR_EST" hidden="1">"c2214"</definedName>
    <definedName name="IQ_REVENUE_EST" hidden="1">"c1126"</definedName>
    <definedName name="IQ_REVENUE_EST_REUT" hidden="1">"c3634"</definedName>
    <definedName name="IQ_REVENUE_HIGH_EST" hidden="1">"c1127"</definedName>
    <definedName name="IQ_REVENUE_HIGH_EST_REUT" hidden="1">"c3636"</definedName>
    <definedName name="IQ_REVENUE_LOW_EST" hidden="1">"c1128"</definedName>
    <definedName name="IQ_REVENUE_LOW_EST_REUT" hidden="1">"c3637"</definedName>
    <definedName name="IQ_REVENUE_MEDIAN_EST" hidden="1">"c1662"</definedName>
    <definedName name="IQ_REVENUE_MEDIAN_EST_REUT" hidden="1">"c3635"</definedName>
    <definedName name="IQ_REVENUE_NUM_EST" hidden="1">"c1129"</definedName>
    <definedName name="IQ_REVENUE_NUM_EST_REUT" hidden="1">"c3638"</definedName>
    <definedName name="IQ_REVISION_DATE_" hidden="1">39420.5644328704</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_PURCHASED_RESELL" hidden="1">"c5513"</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NUM_REUT" hidden="1">"c5319"</definedName>
    <definedName name="IQ_TARGET_PRICE_STDDEV" hidden="1">"c1654"</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BITDA_FWD_REUT" hidden="1">"c4050"</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REUT" hidden="1">"c4051"</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IP_INV" hidden="1">"c1335"</definedName>
    <definedName name="IQ_WORKING_CAP" hidden="1">"c3494"</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ISCM">#REF!</definedName>
    <definedName name="ISTITLE">#REF!</definedName>
    <definedName name="ISYTD">#REF!</definedName>
    <definedName name="IT">#REF!</definedName>
    <definedName name="IT_VP_name">#REF!</definedName>
    <definedName name="ITBU">#REF!</definedName>
    <definedName name="Jan_03">#REF!</definedName>
    <definedName name="jeff" hidden="1">{#N/A,#N/A,FALSE,"Monthly SAIFI";#N/A,#N/A,FALSE,"Yearly SAIFI";#N/A,#N/A,FALSE,"Monthly CAIDI";#N/A,#N/A,FALSE,"Yearly CAIDI";#N/A,#N/A,FALSE,"Monthly SAIDI";#N/A,#N/A,FALSE,"Yearly SAIDI";#N/A,#N/A,FALSE,"Monthly MAIFI";#N/A,#N/A,FALSE,"Yearly MAIFI";#N/A,#N/A,FALSE,"Monthly Cust &gt;=4 Int"}</definedName>
    <definedName name="jghjgjgfjgj" hidden="1">{#N/A,#N/A,FALSE,"Monthly SAIFI";#N/A,#N/A,FALSE,"Yearly SAIFI";#N/A,#N/A,FALSE,"Monthly CAIDI";#N/A,#N/A,FALSE,"Yearly CAIDI";#N/A,#N/A,FALSE,"Monthly SAIDI";#N/A,#N/A,FALSE,"Yearly SAIDI";#N/A,#N/A,FALSE,"Monthly MAIFI";#N/A,#N/A,FALSE,"Yearly MAIFI";#N/A,#N/A,FALSE,"Monthly Cust &gt;=4 Int"}</definedName>
    <definedName name="John" hidden="1">{#N/A,#N/A,FALSE,"Monthly SAIFI";#N/A,#N/A,FALSE,"Yearly SAIFI";#N/A,#N/A,FALSE,"Monthly CAIDI";#N/A,#N/A,FALSE,"Yearly CAIDI";#N/A,#N/A,FALSE,"Monthly SAIDI";#N/A,#N/A,FALSE,"Yearly SAIDI";#N/A,#N/A,FALSE,"Monthly MAIFI";#N/A,#N/A,FALSE,"Yearly MAIFI";#N/A,#N/A,FALSE,"Monthly Cust &gt;=4 Int"}</definedName>
    <definedName name="Jul">#REF!</definedName>
    <definedName name="Jun">#REF!</definedName>
    <definedName name="k" hidden="1">{#N/A,#N/A,FALSE,"Monthly SAIFI";#N/A,#N/A,FALSE,"Yearly SAIFI";#N/A,#N/A,FALSE,"Monthly CAIDI";#N/A,#N/A,FALSE,"Yearly CAIDI";#N/A,#N/A,FALSE,"Monthly SAIDI";#N/A,#N/A,FALSE,"Yearly SAIDI";#N/A,#N/A,FALSE,"Monthly MAIFI";#N/A,#N/A,FALSE,"Yearly MAIFI";#N/A,#N/A,FALSE,"Monthly Cust &gt;=4 Int"}</definedName>
    <definedName name="K_kWh">#REF!</definedName>
    <definedName name="K1_AdminCredit_1of3">#REF!</definedName>
    <definedName name="K10_TransmissionCalculated">#REF!</definedName>
    <definedName name="K2_AdminCredit_2of3">#REF!</definedName>
    <definedName name="K3_AdminCredit_3of3">#REF!</definedName>
    <definedName name="K4_AdminCreditCalculated">#REF!</definedName>
    <definedName name="K5_Return">#REF!</definedName>
    <definedName name="K6_ProcurementCost_Suppliers">#REF!</definedName>
    <definedName name="K7_IncProcurementCost_Supplier">#REF!</definedName>
    <definedName name="K8_IncGenerationRevenue">#REF!</definedName>
    <definedName name="K9_Transmission">#REF!</definedName>
    <definedName name="Key_Stakeholder_Interface">#REF!</definedName>
    <definedName name="KeyE1" hidden="1">#REF!</definedName>
    <definedName name="kk" hidden="1">{#N/A,#N/A,FALSE,"Monthly SAIFI";#N/A,#N/A,FALSE,"Yearly SAIFI";#N/A,#N/A,FALSE,"Monthly CAIDI";#N/A,#N/A,FALSE,"Yearly CAIDI";#N/A,#N/A,FALSE,"Monthly SAIDI";#N/A,#N/A,FALSE,"Yearly SAIDI";#N/A,#N/A,FALSE,"Monthly MAIFI";#N/A,#N/A,FALSE,"Yearly MAIFI";#N/A,#N/A,FALSE,"Monthly Cust &gt;=4 Int"}</definedName>
    <definedName name="kkk" hidden="1">{#N/A,#N/A,FALSE,"Monthly SAIFI";#N/A,#N/A,FALSE,"Yearly SAIFI";#N/A,#N/A,FALSE,"Monthly CAIDI";#N/A,#N/A,FALSE,"Yearly CAIDI";#N/A,#N/A,FALSE,"Monthly SAIDI";#N/A,#N/A,FALSE,"Yearly SAIDI";#N/A,#N/A,FALSE,"Monthly MAIFI";#N/A,#N/A,FALSE,"Yearly MAIFI";#N/A,#N/A,FALSE,"Monthly Cust &gt;=4 Int"}</definedName>
    <definedName name="limcount" hidden="1">1</definedName>
    <definedName name="Line_No.">#REF!</definedName>
    <definedName name="loilpuioopy" hidden="1">{#N/A,#N/A,FALSE,"Monthly SAIFI";#N/A,#N/A,FALSE,"Yearly SAIFI";#N/A,#N/A,FALSE,"Monthly CAIDI";#N/A,#N/A,FALSE,"Yearly CAIDI";#N/A,#N/A,FALSE,"Monthly SAIDI";#N/A,#N/A,FALSE,"Yearly SAIDI";#N/A,#N/A,FALSE,"Monthly MAIFI";#N/A,#N/A,FALSE,"Yearly MAIFI";#N/A,#N/A,FALSE,"Monthly Cust &gt;=4 Int"}</definedName>
    <definedName name="LONGBUDESCR">#REF!</definedName>
    <definedName name="LOOP_1">#REF!</definedName>
    <definedName name="LOOP_2">#REF!</definedName>
    <definedName name="LOOP_3">#REF!</definedName>
    <definedName name="LRP_Data">#REF!</definedName>
    <definedName name="lsdfj" hidden="1">{#N/A,#N/A,FALSE,"Monthly SAIFI";#N/A,#N/A,FALSE,"Yearly SAIFI";#N/A,#N/A,FALSE,"Monthly CAIDI";#N/A,#N/A,FALSE,"Yearly CAIDI";#N/A,#N/A,FALSE,"Monthly SAIDI";#N/A,#N/A,FALSE,"Yearly SAIDI";#N/A,#N/A,FALSE,"Monthly MAIFI";#N/A,#N/A,FALSE,"Yearly MAIFI";#N/A,#N/A,FALSE,"Monthly Cust &gt;=4 Int"}</definedName>
    <definedName name="lsdjf" hidden="1">{#N/A,#N/A,FALSE,"Monthly SAIFI";#N/A,#N/A,FALSE,"Yearly SAIFI";#N/A,#N/A,FALSE,"Monthly CAIDI";#N/A,#N/A,FALSE,"Yearly CAIDI";#N/A,#N/A,FALSE,"Monthly SAIDI";#N/A,#N/A,FALSE,"Yearly SAIDI";#N/A,#N/A,FALSE,"Monthly MAIFI";#N/A,#N/A,FALSE,"Yearly MAIFI";#N/A,#N/A,FALSE,"Monthly Cust &gt;=4 Int"}</definedName>
    <definedName name="lsdjfl" hidden="1">{#N/A,#N/A,FALSE,"Monthly SAIFI";#N/A,#N/A,FALSE,"Yearly SAIFI";#N/A,#N/A,FALSE,"Monthly CAIDI";#N/A,#N/A,FALSE,"Yearly CAIDI";#N/A,#N/A,FALSE,"Monthly SAIDI";#N/A,#N/A,FALSE,"Yearly SAIDI";#N/A,#N/A,FALSE,"Monthly MAIFI";#N/A,#N/A,FALSE,"Yearly MAIFI";#N/A,#N/A,FALSE,"Monthly Cust &gt;=4 Int"}</definedName>
    <definedName name="lsdjfls" hidden="1">{#N/A,#N/A,FALSE,"Monthly SAIFI";#N/A,#N/A,FALSE,"Yearly SAIFI";#N/A,#N/A,FALSE,"Monthly CAIDI";#N/A,#N/A,FALSE,"Yearly CAIDI";#N/A,#N/A,FALSE,"Monthly SAIDI";#N/A,#N/A,FALSE,"Yearly SAIDI";#N/A,#N/A,FALSE,"Monthly MAIFI";#N/A,#N/A,FALSE,"Yearly MAIFI";#N/A,#N/A,FALSE,"Monthly Cust &gt;=4 Int"}</definedName>
    <definedName name="lsdjfsdl" hidden="1">{#N/A,#N/A,FALSE,"Monthly SAIFI";#N/A,#N/A,FALSE,"Yearly SAIFI";#N/A,#N/A,FALSE,"Monthly CAIDI";#N/A,#N/A,FALSE,"Yearly CAIDI";#N/A,#N/A,FALSE,"Monthly SAIDI";#N/A,#N/A,FALSE,"Yearly SAIDI";#N/A,#N/A,FALSE,"Monthly MAIFI";#N/A,#N/A,FALSE,"Yearly MAIFI";#N/A,#N/A,FALSE,"Monthly Cust &gt;=4 Int"}</definedName>
    <definedName name="lsdjfsl" hidden="1">{#N/A,#N/A,FALSE,"Monthly SAIFI";#N/A,#N/A,FALSE,"Yearly SAIFI";#N/A,#N/A,FALSE,"Monthly CAIDI";#N/A,#N/A,FALSE,"Yearly CAIDI";#N/A,#N/A,FALSE,"Monthly SAIDI";#N/A,#N/A,FALSE,"Yearly SAIDI";#N/A,#N/A,FALSE,"Monthly MAIFI";#N/A,#N/A,FALSE,"Yearly MAIFI";#N/A,#N/A,FALSE,"Monthly Cust &gt;=4 Int"}</definedName>
    <definedName name="lsjfls" hidden="1">{#N/A,#N/A,FALSE,"Monthly SAIFI";#N/A,#N/A,FALSE,"Yearly SAIFI";#N/A,#N/A,FALSE,"Monthly CAIDI";#N/A,#N/A,FALSE,"Yearly CAIDI";#N/A,#N/A,FALSE,"Monthly SAIDI";#N/A,#N/A,FALSE,"Yearly SAIDI";#N/A,#N/A,FALSE,"Monthly MAIFI";#N/A,#N/A,FALSE,"Yearly MAIFI";#N/A,#N/A,FALSE,"Monthly Cust &gt;=4 Int"}</definedName>
    <definedName name="Macro3">#REF!</definedName>
    <definedName name="Macro4">#REF!</definedName>
    <definedName name="Macro5">#REF!</definedName>
    <definedName name="MACROS">#REF!</definedName>
    <definedName name="Mar">#REF!</definedName>
    <definedName name="March_02">#REF!</definedName>
    <definedName name="May">#REF!</definedName>
    <definedName name="md">#REF!</definedName>
    <definedName name="mdcpd">#REF!</definedName>
    <definedName name="mdplr">#REF!</definedName>
    <definedName name="mdytd">#REF!</definedName>
    <definedName name="Meet_Cost_Commitments">#REF!</definedName>
    <definedName name="Meet_Production_Commitments">#REF!</definedName>
    <definedName name="MILESTONES_1">#REF!</definedName>
    <definedName name="MILESTONES_2">#REF!</definedName>
    <definedName name="MNTH_ENERGY" localSheetId="0">#REF!</definedName>
    <definedName name="MONTH">#REF!</definedName>
    <definedName name="MonthlyCFBUD">#REF!</definedName>
    <definedName name="MonthlyCFLE">#REF!</definedName>
    <definedName name="MTC_Type">#REF!</definedName>
    <definedName name="NDCA">#REF!</definedName>
    <definedName name="New">#REF!</definedName>
    <definedName name="new_98_IS">#REF!,#REF!,#REF!</definedName>
    <definedName name="New_BS">#REF!,#REF!,#REF!</definedName>
    <definedName name="nono" hidden="1">{#N/A,#N/A,FALSE,"O&amp;M by processes";#N/A,#N/A,FALSE,"Elec Act vs Bud";#N/A,#N/A,FALSE,"G&amp;A";#N/A,#N/A,FALSE,"BGS";#N/A,#N/A,FALSE,"Res Cost"}</definedName>
    <definedName name="NORTHEAST">#REF!</definedName>
    <definedName name="NORTHWEST">#REF!</definedName>
    <definedName name="Nov">#REF!</definedName>
    <definedName name="NSP_COS" localSheetId="0">#REF!</definedName>
    <definedName name="Nuclear">#REF!</definedName>
    <definedName name="NvsASD">"V2001-08-31"</definedName>
    <definedName name="NvsAutoDrillOk">"VN"</definedName>
    <definedName name="NvsElapsedTime">0.0000724537021596916</definedName>
    <definedName name="NvsEndTime">36817.4223792824</definedName>
    <definedName name="NvsInstSpec">"%,LACTUALS,SBAL,R,FACCOUNT,V275900,FBUSINESS_UNIT,V10200"</definedName>
    <definedName name="NvsLayoutType">"M3"</definedName>
    <definedName name="NvsNplSpec">"%,XZF.ACCOUNT.PSDetail"</definedName>
    <definedName name="NvsPanelEffdt">"V1995-01-01"</definedName>
    <definedName name="NvsPanelSetid">"VMFG"</definedName>
    <definedName name="NvsReqBU">"V10200"</definedName>
    <definedName name="NvsReqBUOnly">"VN"</definedName>
    <definedName name="NvsTransLed">"VN"</definedName>
    <definedName name="NvsTreeASD">"V2001-08-31"</definedName>
    <definedName name="NvsValTbl.ACCOUNT">"GL_ACCOUNT_TBL"</definedName>
    <definedName name="NvsValTbl.BUSINESS_UNIT">"BUS_UNIT_TBL_GL"</definedName>
    <definedName name="NvsValTbl.CURRENCY_CD">"CURRENCY_CD_TBL"</definedName>
    <definedName name="OBRADR">#REF!</definedName>
    <definedName name="Oct">#REF!</definedName>
    <definedName name="one">#REF!,#REF!,#REF!</definedName>
    <definedName name="ONM">#REF!</definedName>
    <definedName name="Operational_Excellence_">#REF!</definedName>
    <definedName name="Operational_Execution_And_Safety">#REF!</definedName>
    <definedName name="OPR">#REF!</definedName>
    <definedName name="PAGE1">#REF!</definedName>
    <definedName name="PAGE2">#REF!</definedName>
    <definedName name="PAGE3">#REF!</definedName>
    <definedName name="PAGE4">#REF!</definedName>
    <definedName name="PAGE5">#REF!</definedName>
    <definedName name="PAGE6">#REF!</definedName>
    <definedName name="PAGE7">#REF!</definedName>
    <definedName name="PAGE8">#REF!</definedName>
    <definedName name="PAGEA">#REF!</definedName>
    <definedName name="PAGEC">#REF!</definedName>
    <definedName name="PAGEE">#REF!</definedName>
    <definedName name="PECO_LABS_FUELS_ALL">#REF!</definedName>
    <definedName name="pension">#REF!</definedName>
    <definedName name="PER">#REF!</definedName>
    <definedName name="PGCOUNT">#REF!</definedName>
    <definedName name="PHASE_HELP">#REF!</definedName>
    <definedName name="PLACE_HOLD">#REF!</definedName>
    <definedName name="POTOMAC_ELECTRIC_POWER_COMPANY">#REF!</definedName>
    <definedName name="PowerTeam">#REF!</definedName>
    <definedName name="PPACOST">#REF!</definedName>
    <definedName name="Pri">#REF!</definedName>
    <definedName name="Print_98_IS">#REF!,#REF!,#REF!</definedName>
    <definedName name="_xlnm.Print_Area" localSheetId="5">'Qtr Electric Business Class'!$A$1:$I$21</definedName>
    <definedName name="_xlnm.Print_Area" localSheetId="4">'Qtr Electric LMI'!$A$1:$I$25</definedName>
    <definedName name="_xlnm.Print_Area" localSheetId="1">'Qtr Electric Master'!$A$1:$R$44</definedName>
    <definedName name="Print_Area_MI">#REF!</definedName>
    <definedName name="print_area03">#REF!</definedName>
    <definedName name="Print_Area1">#REF!</definedName>
    <definedName name="Print_BS">#REF!,#REF!,#REF!</definedName>
    <definedName name="PRINT_SET_UP">#REF!</definedName>
    <definedName name="_xlnm.Print_Titles">#N/A</definedName>
    <definedName name="Print1" localSheetId="0">#REF!</definedName>
    <definedName name="Print3" localSheetId="0">#REF!</definedName>
    <definedName name="Print4" localSheetId="0">#REF!</definedName>
    <definedName name="Print5" localSheetId="0">#REF!</definedName>
    <definedName name="Prior">#REF!</definedName>
    <definedName name="PriorQTREnd">#REF!</definedName>
    <definedName name="Profitability_">#REF!</definedName>
    <definedName name="PRT_COMPARE">#REF!</definedName>
    <definedName name="PRT_GR">#REF!</definedName>
    <definedName name="PRT_GRAPH_RTN">#REF!</definedName>
    <definedName name="PRT_GRAPHS">#REF!</definedName>
    <definedName name="PRT_GRAPHS?">#REF!</definedName>
    <definedName name="PRT_GRPH_1">#REF!</definedName>
    <definedName name="PRT_GRPH_10">#REF!</definedName>
    <definedName name="PRT_GRPH_11">#REF!</definedName>
    <definedName name="PRT_GRPH_12">#REF!</definedName>
    <definedName name="PRT_GRPH_2">#REF!</definedName>
    <definedName name="PRT_GRPH_3">#REF!</definedName>
    <definedName name="PRT_GRPH_4">#REF!</definedName>
    <definedName name="PRT_GRPH_5">#REF!</definedName>
    <definedName name="PRT_GRPH_6">#REF!</definedName>
    <definedName name="PRT_GRPH_7">#REF!</definedName>
    <definedName name="PRT_GRPH_8">#REF!</definedName>
    <definedName name="PRT_GRPH_9">#REF!</definedName>
    <definedName name="PRT_MODEL">#REF!</definedName>
    <definedName name="PRT_QRES">#REF!</definedName>
    <definedName name="PRT_REPORT_RTN">#REF!</definedName>
    <definedName name="PRT_REPORTS">#REF!</definedName>
    <definedName name="PRT_REPORTS?">#REF!</definedName>
    <definedName name="PRT_RESET">#REF!</definedName>
    <definedName name="PSCo_COS" localSheetId="0">#REF!</definedName>
    <definedName name="q">#REF!</definedName>
    <definedName name="QRE_HELP">#REF!</definedName>
    <definedName name="QRE_MARGINS">#REF!</definedName>
    <definedName name="qsqe">#REF!</definedName>
    <definedName name="QuarterEndDate">#REF!</definedName>
    <definedName name="Range10">#REF!</definedName>
    <definedName name="Range11">#REF!</definedName>
    <definedName name="Range12">#REF!</definedName>
    <definedName name="Range13">#REF!</definedName>
    <definedName name="Range14">#REF!</definedName>
    <definedName name="Range15">#REF!</definedName>
    <definedName name="Range16">#REF!</definedName>
    <definedName name="Range17">#REF!</definedName>
    <definedName name="Range18">#REF!</definedName>
    <definedName name="Range19">#REF!</definedName>
    <definedName name="Range2">#REF!</definedName>
    <definedName name="Range20">#REF!</definedName>
    <definedName name="Range21">#REF!</definedName>
    <definedName name="Range22">#REF!</definedName>
    <definedName name="Range23">#REF!</definedName>
    <definedName name="Range24">#REF!</definedName>
    <definedName name="Range25">#REF!</definedName>
    <definedName name="Range26">#REF!</definedName>
    <definedName name="Range27">#REF!</definedName>
    <definedName name="Range28">#REF!</definedName>
    <definedName name="Range29">#REF!</definedName>
    <definedName name="Range30">#REF!</definedName>
    <definedName name="Range31">#REF!</definedName>
    <definedName name="Range32">#REF!</definedName>
    <definedName name="Range33">#REF!</definedName>
    <definedName name="Range34">#REF!</definedName>
    <definedName name="Range35">#REF!</definedName>
    <definedName name="Range36">#REF!</definedName>
    <definedName name="Range37">#REF!</definedName>
    <definedName name="Range38">#REF!</definedName>
    <definedName name="Range39">#REF!</definedName>
    <definedName name="Range4">#REF!</definedName>
    <definedName name="Range40">#REF!</definedName>
    <definedName name="Range41">#REF!</definedName>
    <definedName name="Range5">#REF!</definedName>
    <definedName name="Range6">#REF!</definedName>
    <definedName name="Range7">#REF!</definedName>
    <definedName name="Range8">#REF!</definedName>
    <definedName name="Range9">#REF!</definedName>
    <definedName name="Rate_Reduction_Factor">#REF!</definedName>
    <definedName name="RBU">#REF!</definedName>
    <definedName name="reawreqw" hidden="1">{#N/A,#N/A,FALSE,"Monthly SAIFI";#N/A,#N/A,FALSE,"Yearly SAIFI";#N/A,#N/A,FALSE,"Monthly CAIDI";#N/A,#N/A,FALSE,"Yearly CAIDI";#N/A,#N/A,FALSE,"Monthly SAIDI";#N/A,#N/A,FALSE,"Yearly SAIDI";#N/A,#N/A,FALSE,"Monthly MAIFI";#N/A,#N/A,FALSE,"Yearly MAIFI";#N/A,#N/A,FALSE,"Monthly Cust &gt;=4 Int"}</definedName>
    <definedName name="REPORT_SELECT">#REF!</definedName>
    <definedName name="REPORT_TABLE">#REF!</definedName>
    <definedName name="RESALE_CUSTOMERS">#REF!</definedName>
    <definedName name="RESALE_LINES">#REF!</definedName>
    <definedName name="RESET_SENS_FACT">#REF!</definedName>
    <definedName name="RETURN">#REF!</definedName>
    <definedName name="revreq" localSheetId="0">#REF!</definedName>
    <definedName name="RID">#REF!</definedName>
    <definedName name="ROA">#REF!</definedName>
    <definedName name="rwrw">#REF!</definedName>
    <definedName name="Safety_Workforce_Eff_">#REF!</definedName>
    <definedName name="safsafs">#REF!</definedName>
    <definedName name="safsfsad">#REF!</definedName>
    <definedName name="sangh">#REF!</definedName>
    <definedName name="sanghvi215">#REF!</definedName>
    <definedName name="sanghvi232">#REF!</definedName>
    <definedName name="sanghvi2323">#REF!</definedName>
    <definedName name="SAPBEXhrIndnt" hidden="1">"Wide"</definedName>
    <definedName name="SAPBEXrevision" hidden="1">18</definedName>
    <definedName name="SAPBEXsysID" hidden="1">"BWP"</definedName>
    <definedName name="SAPBEXwbID" hidden="1">"3PHPFV8FO7PRQRDHFGKHVVOKV"</definedName>
    <definedName name="SAPsysID" hidden="1">"708C5W7SBKP804JT78WJ0JNKI"</definedName>
    <definedName name="SAPwbID" hidden="1">"ARS"</definedName>
    <definedName name="saSAsa" hidden="1">{#N/A,#N/A,FALSE,"Monthly SAIFI";#N/A,#N/A,FALSE,"Yearly SAIFI";#N/A,#N/A,FALSE,"Monthly CAIDI";#N/A,#N/A,FALSE,"Yearly CAIDI";#N/A,#N/A,FALSE,"Monthly SAIDI";#N/A,#N/A,FALSE,"Yearly SAIDI";#N/A,#N/A,FALSE,"Monthly MAIFI";#N/A,#N/A,FALSE,"Yearly MAIFI";#N/A,#N/A,FALSE,"Monthly Cust &gt;=4 Int"}</definedName>
    <definedName name="sasg">#REF!</definedName>
    <definedName name="SBU_SHEET_HELP">#REF!</definedName>
    <definedName name="sch.A">#REF!</definedName>
    <definedName name="sch.b._FERC_ICC">#REF!</definedName>
    <definedName name="SCHUYLKILL">#REF!</definedName>
    <definedName name="sdasda">#REF!</definedName>
    <definedName name="sdf" hidden="1">{#N/A,#N/A,FALSE,"Monthly SAIFI";#N/A,#N/A,FALSE,"Yearly SAIFI";#N/A,#N/A,FALSE,"Monthly CAIDI";#N/A,#N/A,FALSE,"Yearly CAIDI";#N/A,#N/A,FALSE,"Monthly SAIDI";#N/A,#N/A,FALSE,"Yearly SAIDI";#N/A,#N/A,FALSE,"Monthly MAIFI";#N/A,#N/A,FALSE,"Yearly MAIFI";#N/A,#N/A,FALSE,"Monthly Cust &gt;=4 Int"}</definedName>
    <definedName name="sdfaadfasdfasdaasdfsdf" hidden="1">{#N/A,#N/A,FALSE,"Monthly SAIFI";#N/A,#N/A,FALSE,"Yearly SAIFI";#N/A,#N/A,FALSE,"Monthly CAIDI";#N/A,#N/A,FALSE,"Yearly CAIDI";#N/A,#N/A,FALSE,"Monthly SAIDI";#N/A,#N/A,FALSE,"Yearly SAIDI";#N/A,#N/A,FALSE,"Monthly MAIFI";#N/A,#N/A,FALSE,"Yearly MAIFI";#N/A,#N/A,FALSE,"Monthly Cust &gt;=4 Int"}</definedName>
    <definedName name="sdfafsd">#REF!</definedName>
    <definedName name="sdfasdfasdfasdfasdfsdf" hidden="1">{#N/A,#N/A,FALSE,"Monthly SAIFI";#N/A,#N/A,FALSE,"Yearly SAIFI";#N/A,#N/A,FALSE,"Monthly CAIDI";#N/A,#N/A,FALSE,"Yearly CAIDI";#N/A,#N/A,FALSE,"Monthly SAIDI";#N/A,#N/A,FALSE,"Yearly SAIDI";#N/A,#N/A,FALSE,"Monthly MAIFI";#N/A,#N/A,FALSE,"Yearly MAIFI";#N/A,#N/A,FALSE,"Monthly Cust &gt;=4 Int"}</definedName>
    <definedName name="sdfasfasfasfsdf">#REF!</definedName>
    <definedName name="sdfasfsf">#REF!</definedName>
    <definedName name="sdfdfsf">#REF!</definedName>
    <definedName name="sdfds" hidden="1">{#N/A,#N/A,FALSE,"Monthly SAIFI";#N/A,#N/A,FALSE,"Yearly SAIFI";#N/A,#N/A,FALSE,"Monthly CAIDI";#N/A,#N/A,FALSE,"Yearly CAIDI";#N/A,#N/A,FALSE,"Monthly SAIDI";#N/A,#N/A,FALSE,"Yearly SAIDI";#N/A,#N/A,FALSE,"Monthly MAIFI";#N/A,#N/A,FALSE,"Yearly MAIFI";#N/A,#N/A,FALSE,"Monthly Cust &gt;=4 Int"}</definedName>
    <definedName name="sdffsfaf">#REF!</definedName>
    <definedName name="sdfsadfsf">#REF!</definedName>
    <definedName name="sdfsdfdfdf">#REF!</definedName>
    <definedName name="sdfsdffsdfasfsdfsfasfsdfsfsdf" hidden="1">{#N/A,#N/A,FALSE,"Monthly SAIFI";#N/A,#N/A,FALSE,"Yearly SAIFI";#N/A,#N/A,FALSE,"Monthly CAIDI";#N/A,#N/A,FALSE,"Yearly CAIDI";#N/A,#N/A,FALSE,"Monthly SAIDI";#N/A,#N/A,FALSE,"Yearly SAIDI";#N/A,#N/A,FALSE,"Monthly MAIFI";#N/A,#N/A,FALSE,"Yearly MAIFI";#N/A,#N/A,FALSE,"Monthly Cust &gt;=4 Int"}</definedName>
    <definedName name="sdfsdfs">#REF!</definedName>
    <definedName name="sdfsdfsdasdfsd">#REF!</definedName>
    <definedName name="sdfsdfsdfsdfsdf">#REF!</definedName>
    <definedName name="sdfsdfsfsa" hidden="1">{#N/A,#N/A,FALSE,"Monthly SAIFI";#N/A,#N/A,FALSE,"Yearly SAIFI";#N/A,#N/A,FALSE,"Monthly CAIDI";#N/A,#N/A,FALSE,"Yearly CAIDI";#N/A,#N/A,FALSE,"Monthly SAIDI";#N/A,#N/A,FALSE,"Yearly SAIDI";#N/A,#N/A,FALSE,"Monthly MAIFI";#N/A,#N/A,FALSE,"Yearly MAIFI";#N/A,#N/A,FALSE,"Monthly Cust &gt;=4 Int"}</definedName>
    <definedName name="sdfsf">#REF!</definedName>
    <definedName name="sdgf" hidden="1">#REF!</definedName>
    <definedName name="sdsdsa">#REF!</definedName>
    <definedName name="SENS_DATA_RTN">#REF!</definedName>
    <definedName name="SENS_MESSAGE">#REF!</definedName>
    <definedName name="Sep">#REF!</definedName>
    <definedName name="SepNEW">#REF!</definedName>
    <definedName name="Sept">#REF!</definedName>
    <definedName name="SERP">#REF!</definedName>
    <definedName name="sf">#REF!</definedName>
    <definedName name="SFDD">#REF!</definedName>
    <definedName name="sffsfa" hidden="1">{#N/A,#N/A,FALSE,"Monthly SAIFI";#N/A,#N/A,FALSE,"Yearly SAIFI";#N/A,#N/A,FALSE,"Monthly CAIDI";#N/A,#N/A,FALSE,"Yearly CAIDI";#N/A,#N/A,FALSE,"Monthly SAIDI";#N/A,#N/A,FALSE,"Yearly SAIDI";#N/A,#N/A,FALSE,"Monthly MAIFI";#N/A,#N/A,FALSE,"Yearly MAIFI";#N/A,#N/A,FALSE,"Monthly Cust &gt;=4 Int"}</definedName>
    <definedName name="sfsd">#REF!</definedName>
    <definedName name="sfsdfasf">#REF!</definedName>
    <definedName name="sfsdfsafsf">#REF!</definedName>
    <definedName name="sfsdfsdf">#REF!</definedName>
    <definedName name="sfsdfsfsfsd">#REF!</definedName>
    <definedName name="SFSFD" hidden="1">{#N/A,#N/A,FALSE,"Monthly SAIFI";#N/A,#N/A,FALSE,"Yearly SAIFI";#N/A,#N/A,FALSE,"Monthly CAIDI";#N/A,#N/A,FALSE,"Yearly CAIDI";#N/A,#N/A,FALSE,"Monthly SAIDI";#N/A,#N/A,FALSE,"Yearly SAIDI";#N/A,#N/A,FALSE,"Monthly MAIFI";#N/A,#N/A,FALSE,"Yearly MAIFI";#N/A,#N/A,FALSE,"Monthly Cust &gt;=4 Int"}</definedName>
    <definedName name="sfsfsf">#REF!</definedName>
    <definedName name="sfsssr">#REF!</definedName>
    <definedName name="SFVD">#REF!</definedName>
    <definedName name="sgggggkjjkkj">#REF!</definedName>
    <definedName name="Sheet1" hidden="1">{#N/A,#N/A,FALSE,"Monthly SAIFI";#N/A,#N/A,FALSE,"Yearly SAIFI";#N/A,#N/A,FALSE,"Monthly CAIDI";#N/A,#N/A,FALSE,"Yearly CAIDI";#N/A,#N/A,FALSE,"Monthly SAIDI";#N/A,#N/A,FALSE,"Yearly SAIDI";#N/A,#N/A,FALSE,"Monthly MAIFI";#N/A,#N/A,FALSE,"Yearly MAIFI";#N/A,#N/A,FALSE,"Monthly Cust &gt;=4 Int"}</definedName>
    <definedName name="SLA_Unit_Cost">#REF!</definedName>
    <definedName name="slldk" hidden="1">{#N/A,#N/A,FALSE,"Monthly SAIFI";#N/A,#N/A,FALSE,"Yearly SAIFI";#N/A,#N/A,FALSE,"Monthly CAIDI";#N/A,#N/A,FALSE,"Yearly CAIDI";#N/A,#N/A,FALSE,"Monthly SAIDI";#N/A,#N/A,FALSE,"Yearly SAIDI";#N/A,#N/A,FALSE,"Monthly MAIFI";#N/A,#N/A,FALSE,"Yearly MAIFI";#N/A,#N/A,FALSE,"Monthly Cust &gt;=4 Int"}</definedName>
    <definedName name="solver_adj" hidden="1">#REF!,#REF!,#REF!,#REF!,#REF!,#REF!,#REF!</definedName>
    <definedName name="solver_lin" hidden="1">0</definedName>
    <definedName name="solver_num" hidden="1">0</definedName>
    <definedName name="solver_tmp" hidden="1">#REF!,#REF!,#REF!,#REF!,#REF!,#REF!,#REF!</definedName>
    <definedName name="solver_typ" hidden="1">1</definedName>
    <definedName name="solver_val" hidden="1">0</definedName>
    <definedName name="SortE" hidden="1">#REF!</definedName>
    <definedName name="SOUTH">#REF!</definedName>
    <definedName name="SPSet">"current"</definedName>
    <definedName name="SPWS_WBID">"5212E8AE-A962-4131-8FBC-A40040E9ED32"</definedName>
    <definedName name="SSA">#REF!</definedName>
    <definedName name="StartDate">#REF!</definedName>
    <definedName name="SUT">#REF!</definedName>
    <definedName name="Sx">#REF!</definedName>
    <definedName name="T">#REF!</definedName>
    <definedName name="TABLE">#REF!</definedName>
    <definedName name="TEFA">#REF!</definedName>
    <definedName name="TEST">#REF!</definedName>
    <definedName name="TEST0">#REF!</definedName>
    <definedName name="test1">#REF!</definedName>
    <definedName name="TESTHKEY">#REF!</definedName>
    <definedName name="TESTKEYS">#REF!</definedName>
    <definedName name="TESTVKEY">#REF!</definedName>
    <definedName name="three">#REF!,#REF!,#REF!</definedName>
    <definedName name="TOTAL">#REF!</definedName>
    <definedName name="TOTAL_CUSTOMERS">#REF!</definedName>
    <definedName name="TOTAL_LINES">#REF!</definedName>
    <definedName name="TP_Footer_Path" hidden="1">"S:\74639\03RET\(417) 2004 Cost Projection\"</definedName>
    <definedName name="TP_Footer_Path1" hidden="1">"S:\74639\03RET\(852) Pension Val - OOS\Contribution Allocations\"</definedName>
    <definedName name="TP_Footer_User" hidden="1">"Mary Lou Barrios"</definedName>
    <definedName name="TP_Footer_Version" hidden="1">"v3.00"</definedName>
    <definedName name="transco">#REF!</definedName>
    <definedName name="Tree">#REF!</definedName>
    <definedName name="TWELVE">#REF!</definedName>
    <definedName name="two">#REF!,#REF!,#REF!</definedName>
    <definedName name="tyty" hidden="1">{#N/A,#N/A,FALSE,"Monthly SAIFI";#N/A,#N/A,FALSE,"Yearly SAIFI";#N/A,#N/A,FALSE,"Monthly CAIDI";#N/A,#N/A,FALSE,"Yearly CAIDI";#N/A,#N/A,FALSE,"Monthly SAIDI";#N/A,#N/A,FALSE,"Yearly SAIDI";#N/A,#N/A,FALSE,"Monthly MAIFI";#N/A,#N/A,FALSE,"Yearly MAIFI";#N/A,#N/A,FALSE,"Monthly Cust &gt;=4 Int"}</definedName>
    <definedName name="under" hidden="1">{#N/A,#N/A,TRUE,"TAXPROV";#N/A,#N/A,TRUE,"FLOWTHRU";#N/A,#N/A,TRUE,"SCHEDULE M'S";#N/A,#N/A,TRUE,"PLANT M'S";#N/A,#N/A,TRUE,"TAXJE"}</definedName>
    <definedName name="UTILRANGE">#REF!</definedName>
    <definedName name="va">#REF!</definedName>
    <definedName name="vacpd">#REF!</definedName>
    <definedName name="ValidData">#REF!</definedName>
    <definedName name="vaplr">#REF!</definedName>
    <definedName name="vaytd">#REF!</definedName>
    <definedName name="vcbcvbcv" hidden="1">{#N/A,#N/A,FALSE,"Monthly SAIFI";#N/A,#N/A,FALSE,"Yearly SAIFI";#N/A,#N/A,FALSE,"Monthly CAIDI";#N/A,#N/A,FALSE,"Yearly CAIDI";#N/A,#N/A,FALSE,"Monthly SAIDI";#N/A,#N/A,FALSE,"Yearly SAIDI";#N/A,#N/A,FALSE,"Monthly MAIFI";#N/A,#N/A,FALSE,"Yearly MAIFI";#N/A,#N/A,FALSE,"Monthly Cust &gt;=4 Int"}</definedName>
    <definedName name="wearwerawer">#REF!</definedName>
    <definedName name="wer" hidden="1">{#N/A,#N/A,FALSE,"Monthly SAIFI";#N/A,#N/A,FALSE,"Yearly SAIFI";#N/A,#N/A,FALSE,"Monthly CAIDI";#N/A,#N/A,FALSE,"Yearly CAIDI";#N/A,#N/A,FALSE,"Monthly SAIDI";#N/A,#N/A,FALSE,"Yearly SAIDI";#N/A,#N/A,FALSE,"Monthly MAIFI";#N/A,#N/A,FALSE,"Yearly MAIFI";#N/A,#N/A,FALSE,"Monthly Cust &gt;=4 Int"}</definedName>
    <definedName name="werw3">#REF!</definedName>
    <definedName name="werwerwe">#REF!</definedName>
    <definedName name="WESTERN">#REF!</definedName>
    <definedName name="what" hidden="1">{#N/A,#N/A,FALSE,"O&amp;M by processes";#N/A,#N/A,FALSE,"Elec Act vs Bud";#N/A,#N/A,FALSE,"G&amp;A";#N/A,#N/A,FALSE,"BGS";#N/A,#N/A,FALSE,"Res Cost"}</definedName>
    <definedName name="what09" hidden="1">{#N/A,#N/A,FALSE,"O&amp;M by processes";#N/A,#N/A,FALSE,"Elec Act vs Bud";#N/A,#N/A,FALSE,"G&amp;A";#N/A,#N/A,FALSE,"BGS";#N/A,#N/A,FALSE,"Res Cost"}</definedName>
    <definedName name="Whatwhat" hidden="1">{#N/A,#N/A,FALSE,"O&amp;M by processes";#N/A,#N/A,FALSE,"Elec Act vs Bud";#N/A,#N/A,FALSE,"G&amp;A";#N/A,#N/A,FALSE,"BGS";#N/A,#N/A,FALSE,"Res Cost"}</definedName>
    <definedName name="Whatwhat09" hidden="1">{#N/A,#N/A,FALSE,"O&amp;M by processes";#N/A,#N/A,FALSE,"Elec Act vs Bud";#N/A,#N/A,FALSE,"G&amp;A";#N/A,#N/A,FALSE,"BGS";#N/A,#N/A,FALSE,"Res Cost"}</definedName>
    <definedName name="whatwhat2009" hidden="1">{#N/A,#N/A,FALSE,"O&amp;M by processes";#N/A,#N/A,FALSE,"Elec Act vs Bud";#N/A,#N/A,FALSE,"G&amp;A";#N/A,#N/A,FALSE,"BGS";#N/A,#N/A,FALSE,"Res Cost"}</definedName>
    <definedName name="Workforce">#REF!</definedName>
    <definedName name="wrn.Aging._.and._.Trend._.Analysis." hidden="1">{#N/A,#N/A,FALSE,"Aging Summary";#N/A,#N/A,FALSE,"Ratio Analysis";#N/A,#N/A,FALSE,"Test 120 Day Accts";#N/A,#N/A,FALSE,"Tickmarks"}</definedName>
    <definedName name="wrn.AGT." hidden="1">{"AGT",#N/A,FALSE,"Revenue"}</definedName>
    <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Filing." hidden="1">{"2002 Scedule A Revenue Proof",#N/A,FALSE,"Schedule A";"2002 Rate Detail",#N/A,FALSE,"Schedule B";"2002 Light Rates Page 1",#N/A,FALSE,"Schedule B";"2002 Light Rates Page 2",#N/A,FALSE,"Schedule B";"Schedule C",#N/A,FALSE,"Schedule C"}</definedName>
    <definedName name="wrn.Basic." hidden="1">{#N/A,#N/A,FALSE,"O&amp;M by processes";#N/A,#N/A,FALSE,"Elec Act vs Bud";#N/A,#N/A,FALSE,"G&amp;A";#N/A,#N/A,FALSE,"BGS";#N/A,#N/A,FALSE,"Res Cost"}</definedName>
    <definedName name="wrn.CFC._.QUARTER." localSheetId="7" hidden="1">{"CFC COMPARISON",#N/A,FALSE,"CFCCOMP";"CREDIT LETTER",#N/A,FALSE,"CFCCOMP";"DEBT OBLIGATION",#N/A,FALSE,"CFCCOMP";"OFFICERS CERTIFICATE",#N/A,FALSE,"CFCCOMP"}</definedName>
    <definedName name="wrn.CFC._.QUARTER." localSheetId="8" hidden="1">{"CFC COMPARISON",#N/A,FALSE,"CFCCOMP";"CREDIT LETTER",#N/A,FALSE,"CFCCOMP";"DEBT OBLIGATION",#N/A,FALSE,"CFCCOMP";"OFFICERS CERTIFICATE",#N/A,FALSE,"CFCCOMP"}</definedName>
    <definedName name="wrn.CFC._.QUARTER." localSheetId="9" hidden="1">{"CFC COMPARISON",#N/A,FALSE,"CFCCOMP";"CREDIT LETTER",#N/A,FALSE,"CFCCOMP";"DEBT OBLIGATION",#N/A,FALSE,"CFCCOMP";"OFFICERS CERTIFICATE",#N/A,FALSE,"CFCCOMP"}</definedName>
    <definedName name="wrn.CFC._.QUARTER." localSheetId="6" hidden="1">{"CFC COMPARISON",#N/A,FALSE,"CFCCOMP";"CREDIT LETTER",#N/A,FALSE,"CFCCOMP";"DEBT OBLIGATION",#N/A,FALSE,"CFCCOMP";"OFFICERS CERTIFICATE",#N/A,FALSE,"CFCCOMP"}</definedName>
    <definedName name="wrn.CFC._.QUARTER." localSheetId="10" hidden="1">{"CFC COMPARISON",#N/A,FALSE,"CFCCOMP";"CREDIT LETTER",#N/A,FALSE,"CFCCOMP";"DEBT OBLIGATION",#N/A,FALSE,"CFCCOMP";"OFFICERS CERTIFICATE",#N/A,FALSE,"CFCCOMP"}</definedName>
    <definedName name="wrn.CFC._.QUARTER." localSheetId="5" hidden="1">{"CFC COMPARISON",#N/A,FALSE,"CFCCOMP";"CREDIT LETTER",#N/A,FALSE,"CFCCOMP";"DEBT OBLIGATION",#N/A,FALSE,"CFCCOMP";"OFFICERS CERTIFICATE",#N/A,FALSE,"CFCCOMP"}</definedName>
    <definedName name="wrn.CFC._.QUARTER." localSheetId="4" hidden="1">{"CFC COMPARISON",#N/A,FALSE,"CFCCOMP";"CREDIT LETTER",#N/A,FALSE,"CFCCOMP";"DEBT OBLIGATION",#N/A,FALSE,"CFCCOMP";"OFFICERS CERTIFICATE",#N/A,FALSE,"CFCCOMP"}</definedName>
    <definedName name="wrn.CFC._.QUARTER." localSheetId="1" hidden="1">{"CFC COMPARISON",#N/A,FALSE,"CFCCOMP";"CREDIT LETTER",#N/A,FALSE,"CFCCOMP";"DEBT OBLIGATION",#N/A,FALSE,"CFCCOMP";"OFFICERS CERTIFICATE",#N/A,FALSE,"CFCCOMP"}</definedName>
    <definedName name="wrn.CFC._.QUARTER." localSheetId="2" hidden="1">{"CFC COMPARISON",#N/A,FALSE,"CFCCOMP";"CREDIT LETTER",#N/A,FALSE,"CFCCOMP";"DEBT OBLIGATION",#N/A,FALSE,"CFCCOMP";"OFFICERS CERTIFICATE",#N/A,FALSE,"CFCCOMP"}</definedName>
    <definedName name="wrn.CFC._.QUARTER." localSheetId="0" hidden="1">{"CFC COMPARISON",#N/A,FALSE,"CFCCOMP";"CREDIT LETTER",#N/A,FALSE,"CFCCOMP";"DEBT OBLIGATION",#N/A,FALSE,"CFCCOMP";"OFFICERS CERTIFICATE",#N/A,FALSE,"CFCCOMP"}</definedName>
    <definedName name="wrn.CFC._.QUARTER." hidden="1">{"CFC COMPARISON",#N/A,FALSE,"CFCCOMP";"CREDIT LETTER",#N/A,FALSE,"CFCCOMP";"DEBT OBLIGATION",#N/A,FALSE,"CFCCOMP";"OFFICERS CERTIFICATE",#N/A,FALSE,"CFCCOMP"}</definedName>
    <definedName name="wrn.Deferral._.Forecast." hidden="1">{"Summary Deferral Forecast",#N/A,FALSE,"Deferral Forecast";"BGS Deferral Forecast",#N/A,FALSE,"BGS Deferral";"NNC Deferral Forecast",#N/A,FALSE,"NNC Deferral";"MTCDeferralForecast",#N/A,FALSE,"MTC Deferral";"SBC Deferral Forecast",#N/A,FALSE,"SBC Deferral"}</definedName>
    <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_.Update." hidden="1">{"JFJ-1a",#N/A,FALSE,"JFJ-1a UROR";"JFJ-1",#N/A,FALSE,"JFJ-1";"JFJ-2 RS",#N/A,FALSE,"JFJ-2 RS";"JFJ-2 MGS Sec",#N/A,FALSE,"JFJ-2 MGS Sec";"JFJ-2 MGS Pri",#N/A,FALSE,"JFJ-2 MGS Pri";"JFJ-2 AGS Sec",#N/A,FALSE,"JFJ-2 AGS Sec";"JFJ-2 AGS Pri",#N/A,FALSE,"JFJ-2 AGS Pri";"JFJ-2 TGS Sub",#N/A,FALSE,"JFJ-2 TGS Sub Trans";"JFJ-2 TGS Trans",#N/A,FALSE,"JFJ-2 TGS Trans";"JFJ-2 SPL",#N/A,FALSE,"JFJ-2 SPL CSL DDC";"JFJ-3",#N/A,FALSE,"JFJ-3 RARC";"JFJ-4",#N/A,FALSE,"JFJ-4 Stand By Rate"}</definedName>
    <definedName name="wrn.Filing._.Update09" hidden="1">{"JFJ-1a",#N/A,FALSE,"JFJ-1a UROR";"JFJ-1",#N/A,FALSE,"JFJ-1";"JFJ-2 RS",#N/A,FALSE,"JFJ-2 RS";"JFJ-2 MGS Sec",#N/A,FALSE,"JFJ-2 MGS Sec";"JFJ-2 MGS Pri",#N/A,FALSE,"JFJ-2 MGS Pri";"JFJ-2 AGS Sec",#N/A,FALSE,"JFJ-2 AGS Sec";"JFJ-2 AGS Pri",#N/A,FALSE,"JFJ-2 AGS Pri";"JFJ-2 TGS Sub",#N/A,FALSE,"JFJ-2 TGS Sub Trans";"JFJ-2 TGS Trans",#N/A,FALSE,"JFJ-2 TGS Trans";"JFJ-2 SPL",#N/A,FALSE,"JFJ-2 SPL CSL DDC";"JFJ-3",#N/A,FALSE,"JFJ-3 RARC";"JFJ-4",#N/A,FALSE,"JFJ-4 Stand By Rate"}</definedName>
    <definedName name="wrn.FUEL._.SCHEDULE." localSheetId="7" hidden="1">{"COVER",#N/A,FALSE,"COVERPMT";"COMPANY ORDER",#N/A,FALSE,"COVERPMT";"EXHIBIT A",#N/A,FALSE,"COVERPMT"}</definedName>
    <definedName name="wrn.FUEL._.SCHEDULE." localSheetId="8" hidden="1">{"COVER",#N/A,FALSE,"COVERPMT";"COMPANY ORDER",#N/A,FALSE,"COVERPMT";"EXHIBIT A",#N/A,FALSE,"COVERPMT"}</definedName>
    <definedName name="wrn.FUEL._.SCHEDULE." localSheetId="9" hidden="1">{"COVER",#N/A,FALSE,"COVERPMT";"COMPANY ORDER",#N/A,FALSE,"COVERPMT";"EXHIBIT A",#N/A,FALSE,"COVERPMT"}</definedName>
    <definedName name="wrn.FUEL._.SCHEDULE." localSheetId="6" hidden="1">{"COVER",#N/A,FALSE,"COVERPMT";"COMPANY ORDER",#N/A,FALSE,"COVERPMT";"EXHIBIT A",#N/A,FALSE,"COVERPMT"}</definedName>
    <definedName name="wrn.FUEL._.SCHEDULE." localSheetId="10" hidden="1">{"COVER",#N/A,FALSE,"COVERPMT";"COMPANY ORDER",#N/A,FALSE,"COVERPMT";"EXHIBIT A",#N/A,FALSE,"COVERPMT"}</definedName>
    <definedName name="wrn.FUEL._.SCHEDULE." localSheetId="5" hidden="1">{"COVER",#N/A,FALSE,"COVERPMT";"COMPANY ORDER",#N/A,FALSE,"COVERPMT";"EXHIBIT A",#N/A,FALSE,"COVERPMT"}</definedName>
    <definedName name="wrn.FUEL._.SCHEDULE." localSheetId="4" hidden="1">{"COVER",#N/A,FALSE,"COVERPMT";"COMPANY ORDER",#N/A,FALSE,"COVERPMT";"EXHIBIT A",#N/A,FALSE,"COVERPMT"}</definedName>
    <definedName name="wrn.FUEL._.SCHEDULE." localSheetId="1" hidden="1">{"COVER",#N/A,FALSE,"COVERPMT";"COMPANY ORDER",#N/A,FALSE,"COVERPMT";"EXHIBIT A",#N/A,FALSE,"COVERPMT"}</definedName>
    <definedName name="wrn.FUEL._.SCHEDULE." localSheetId="2" hidden="1">{"COVER",#N/A,FALSE,"COVERPMT";"COMPANY ORDER",#N/A,FALSE,"COVERPMT";"EXHIBIT A",#N/A,FALSE,"COVERPMT"}</definedName>
    <definedName name="wrn.FUEL._.SCHEDULE." localSheetId="0" hidden="1">{"COVER",#N/A,FALSE,"COVERPMT";"COMPANY ORDER",#N/A,FALSE,"COVERPMT";"EXHIBIT A",#N/A,FALSE,"COVERPMT"}</definedName>
    <definedName name="wrn.FUEL._.SCHEDULE." hidden="1">{"COVER",#N/A,FALSE,"COVERPMT";"COMPANY ORDER",#N/A,FALSE,"COVERPMT";"EXHIBIT A",#N/A,FALSE,"COVERPMT"}</definedName>
    <definedName name="wrn.HLP._.Detail." hidden="1">{"2002 - 2006 Detail Income Statement",#N/A,FALSE,"TUB Income Statement wo DW";"BGS Deferral",#N/A,FALSE,"BGS Deferral";"NNC Deferral",#N/A,FALSE,"NNC Deferral";"MTC Deferral",#N/A,FALSE,"MTC Deferral";#N/A,#N/A,FALSE,"Schedule D"}</definedName>
    <definedName name="wrn.PrintAll." hidden="1">{#N/A,#N/A,FALSE,"Monthly SAIFI";#N/A,#N/A,FALSE,"Yearly SAIFI";#N/A,#N/A,FALSE,"Monthly CAIDI";#N/A,#N/A,FALSE,"Yearly CAIDI";#N/A,#N/A,FALSE,"Monthly SAIDI";#N/A,#N/A,FALSE,"Yearly SAIDI";#N/A,#N/A,FALSE,"Monthly MAIFI";#N/A,#N/A,FALSE,"Yearly MAIFI";#N/A,#N/A,FALSE,"Monthly Cust &gt;=4 Int"}</definedName>
    <definedName name="wrn.R_D._.Tax._.Services." hidden="1">{#N/A,#N/A,FALSE,"R&amp;D Quick Calc";#N/A,#N/A,FALSE,"DOE Fee Schedule"}</definedName>
    <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Settlement._.Analysis." hidden="1">{"Assumptions",#N/A,FALSE,"Assumptions";"2003 - 2007 Summary",#N/A,FALSE,"Income Statement";"Summary Deferral Forecast",#N/A,FALSE,"Deferral Forecast"}</definedName>
    <definedName name="wrn.tax._._Accrual09" hidden="1">{#N/A,#N/A,TRUE,"TAXPROV";#N/A,#N/A,TRUE,"FLOWTHRU";#N/A,#N/A,TRUE,"SCHEDULE M'S";#N/A,#N/A,TRUE,"PLANT M'S";#N/A,#N/A,TRUE,"TAXJE"}</definedName>
    <definedName name="wrn.Tax._.Accrual." hidden="1">{#N/A,#N/A,TRUE,"TAXPROV";#N/A,#N/A,TRUE,"FLOWTHRU";#N/A,#N/A,TRUE,"SCHEDULE M'S";#N/A,#N/A,TRUE,"PLANT M'S";#N/A,#N/A,TRUE,"TAXJE"}</definedName>
    <definedName name="wrn.TBC._.Update." hidden="1">{#N/A,#N/A,FALSE,"TABLE I";#N/A,#N/A,FALSE,"TBC Development";#N/A,#N/A,FALSE,"MTC -Tax Development";#N/A,#N/A,FALSE,"MTC - Tax descriptions";#N/A,#N/A,FALSE,"MTC -Tax True Up"}</definedName>
    <definedName name="Xcel_COS" localSheetId="0">#REF!</definedName>
    <definedName name="xcvxvx">#REF!</definedName>
    <definedName name="xvxvxzvxc">#REF!</definedName>
    <definedName name="xzczczczxc">#REF!</definedName>
    <definedName name="y" hidden="1">{#N/A,#N/A,FALSE,"Monthly SAIFI";#N/A,#N/A,FALSE,"Yearly SAIFI";#N/A,#N/A,FALSE,"Monthly CAIDI";#N/A,#N/A,FALSE,"Yearly CAIDI";#N/A,#N/A,FALSE,"Monthly SAIDI";#N/A,#N/A,FALSE,"Yearly SAIDI";#N/A,#N/A,FALSE,"Monthly MAIFI";#N/A,#N/A,FALSE,"Yearly MAIFI";#N/A,#N/A,FALSE,"Monthly Cust &gt;=4 Int"}</definedName>
    <definedName name="Year">#REF!</definedName>
    <definedName name="Year4BGS">#REF!</definedName>
    <definedName name="YesNo">#REF!</definedName>
    <definedName name="YORK_COUNTY">#REF!</definedName>
    <definedName name="yryryrr" hidden="1">{#N/A,#N/A,FALSE,"Monthly SAIFI";#N/A,#N/A,FALSE,"Yearly SAIFI";#N/A,#N/A,FALSE,"Monthly CAIDI";#N/A,#N/A,FALSE,"Yearly CAIDI";#N/A,#N/A,FALSE,"Monthly SAIDI";#N/A,#N/A,FALSE,"Yearly SAIDI";#N/A,#N/A,FALSE,"Monthly MAIFI";#N/A,#N/A,FALSE,"Yearly MAIFI";#N/A,#N/A,FALSE,"Monthly Cust &gt;=4 Int"}</definedName>
    <definedName name="YTDCFLE">#REF!</definedName>
    <definedName name="z" hidden="1">{#N/A,#N/A,FALSE,"Monthly SAIFI";#N/A,#N/A,FALSE,"Yearly SAIFI";#N/A,#N/A,FALSE,"Monthly CAIDI";#N/A,#N/A,FALSE,"Yearly CAIDI";#N/A,#N/A,FALSE,"Monthly SAIDI";#N/A,#N/A,FALSE,"Yearly SAIDI";#N/A,#N/A,FALSE,"Monthly MAIFI";#N/A,#N/A,FALSE,"Yearly MAIFI";#N/A,#N/A,FALSE,"Monthly Cust &gt;=4 Int"}</definedName>
    <definedName name="Z_E3A30FBC_675D_4AD8_9B2D_12956792A138_.wvu.Rows" localSheetId="5" hidden="1">#REF!</definedName>
    <definedName name="Z_E3A30FBC_675D_4AD8_9B2D_12956792A138_.wvu.Rows" localSheetId="4" hidden="1">#REF!</definedName>
    <definedName name="Z_E3A30FBC_675D_4AD8_9B2D_12956792A138_.wvu.Rows" localSheetId="1" hidden="1">#REF!</definedName>
    <definedName name="Z_E3A30FBC_675D_4AD8_9B2D_12956792A138_.wvu.Rows" localSheetId="0"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8" i="39" l="1"/>
  <c r="L48" i="39"/>
  <c r="K48" i="39"/>
  <c r="J48" i="39"/>
  <c r="I48" i="39"/>
  <c r="H48" i="39"/>
  <c r="F47" i="39"/>
  <c r="E47" i="39"/>
  <c r="D47" i="39"/>
  <c r="C47" i="39"/>
  <c r="G47" i="39" s="1"/>
  <c r="F46" i="39"/>
  <c r="E46" i="39"/>
  <c r="D46" i="39"/>
  <c r="C46" i="39"/>
  <c r="G46" i="39" s="1"/>
  <c r="F45" i="39"/>
  <c r="F48" i="39" s="1"/>
  <c r="E45" i="39"/>
  <c r="E48" i="39" s="1"/>
  <c r="D45" i="39"/>
  <c r="D48" i="39" s="1"/>
  <c r="C45" i="39"/>
  <c r="M44" i="39"/>
  <c r="M49" i="39" s="1"/>
  <c r="L44" i="39"/>
  <c r="L49" i="39" s="1"/>
  <c r="K44" i="39"/>
  <c r="K49" i="39" s="1"/>
  <c r="J44" i="39"/>
  <c r="J49" i="39" s="1"/>
  <c r="I44" i="39"/>
  <c r="I49" i="39" s="1"/>
  <c r="H44" i="39"/>
  <c r="H49" i="39" s="1"/>
  <c r="F42" i="39"/>
  <c r="E42" i="39"/>
  <c r="D42" i="39"/>
  <c r="C42" i="39"/>
  <c r="G42" i="39" s="1"/>
  <c r="F41" i="39"/>
  <c r="E41" i="39"/>
  <c r="D41" i="39"/>
  <c r="C41" i="39"/>
  <c r="G41" i="39" s="1"/>
  <c r="F40" i="39"/>
  <c r="E40" i="39"/>
  <c r="D40" i="39"/>
  <c r="C40" i="39"/>
  <c r="G40" i="39" s="1"/>
  <c r="F39" i="39"/>
  <c r="E39" i="39"/>
  <c r="D39" i="39"/>
  <c r="C39" i="39"/>
  <c r="G39" i="39" s="1"/>
  <c r="F38" i="39"/>
  <c r="E38" i="39"/>
  <c r="D38" i="39"/>
  <c r="C38" i="39"/>
  <c r="G38" i="39" s="1"/>
  <c r="F37" i="39"/>
  <c r="E37" i="39"/>
  <c r="D37" i="39"/>
  <c r="C37" i="39"/>
  <c r="G37" i="39" s="1"/>
  <c r="F36" i="39"/>
  <c r="E36" i="39"/>
  <c r="D36" i="39"/>
  <c r="C36" i="39"/>
  <c r="G36" i="39" s="1"/>
  <c r="F35" i="39"/>
  <c r="E35" i="39"/>
  <c r="D35" i="39"/>
  <c r="C35" i="39"/>
  <c r="G35" i="39" s="1"/>
  <c r="F34" i="39"/>
  <c r="F44" i="39" s="1"/>
  <c r="F49" i="39" s="1"/>
  <c r="E34" i="39"/>
  <c r="E44" i="39" s="1"/>
  <c r="E49" i="39" s="1"/>
  <c r="D34" i="39"/>
  <c r="D44" i="39" s="1"/>
  <c r="D49" i="39" s="1"/>
  <c r="C34" i="39"/>
  <c r="F30" i="39"/>
  <c r="E30" i="39"/>
  <c r="D30" i="39"/>
  <c r="C30" i="39"/>
  <c r="G30" i="39" s="1"/>
  <c r="M23" i="39"/>
  <c r="L23" i="39"/>
  <c r="K23" i="39"/>
  <c r="J23" i="39"/>
  <c r="I23" i="39"/>
  <c r="H23" i="39"/>
  <c r="F22" i="39"/>
  <c r="E22" i="39"/>
  <c r="D22" i="39"/>
  <c r="C22" i="39"/>
  <c r="G22" i="39" s="1"/>
  <c r="F21" i="39"/>
  <c r="F23" i="39" s="1"/>
  <c r="E21" i="39"/>
  <c r="E23" i="39" s="1"/>
  <c r="D21" i="39"/>
  <c r="D23" i="39" s="1"/>
  <c r="C21" i="39"/>
  <c r="M17" i="39"/>
  <c r="L17" i="39"/>
  <c r="K17" i="39"/>
  <c r="J17" i="39"/>
  <c r="I17" i="39"/>
  <c r="H17" i="39"/>
  <c r="C17" i="39"/>
  <c r="F16" i="39"/>
  <c r="E16" i="39"/>
  <c r="D16" i="39"/>
  <c r="C16" i="39"/>
  <c r="G16" i="39" s="1"/>
  <c r="F15" i="39"/>
  <c r="E15" i="39"/>
  <c r="D15" i="39"/>
  <c r="C15" i="39"/>
  <c r="G15" i="39" s="1"/>
  <c r="F14" i="39"/>
  <c r="F17" i="39" s="1"/>
  <c r="E14" i="39"/>
  <c r="E17" i="39" s="1"/>
  <c r="D14" i="39"/>
  <c r="D17" i="39" s="1"/>
  <c r="C14" i="39"/>
  <c r="G14" i="39" s="1"/>
  <c r="M13" i="39"/>
  <c r="L13" i="39"/>
  <c r="K13" i="39"/>
  <c r="J13" i="39"/>
  <c r="I13" i="39"/>
  <c r="H13" i="39"/>
  <c r="F12" i="39"/>
  <c r="E12" i="39"/>
  <c r="D12" i="39"/>
  <c r="C12" i="39"/>
  <c r="G12" i="39" s="1"/>
  <c r="F11" i="39"/>
  <c r="E11" i="39"/>
  <c r="D11" i="39"/>
  <c r="C11" i="39"/>
  <c r="G11" i="39" s="1"/>
  <c r="F10" i="39"/>
  <c r="E10" i="39"/>
  <c r="D10" i="39"/>
  <c r="C10" i="39"/>
  <c r="G10" i="39" s="1"/>
  <c r="F9" i="39"/>
  <c r="E9" i="39"/>
  <c r="D9" i="39"/>
  <c r="C9" i="39"/>
  <c r="G9" i="39" s="1"/>
  <c r="F8" i="39"/>
  <c r="E8" i="39"/>
  <c r="D8" i="39"/>
  <c r="C8" i="39"/>
  <c r="G8" i="39" s="1"/>
  <c r="F7" i="39"/>
  <c r="E7" i="39"/>
  <c r="D7" i="39"/>
  <c r="C7" i="39"/>
  <c r="G7" i="39" s="1"/>
  <c r="F6" i="39"/>
  <c r="E6" i="39"/>
  <c r="D6" i="39"/>
  <c r="C6" i="39"/>
  <c r="G6" i="39" s="1"/>
  <c r="F5" i="39"/>
  <c r="F13" i="39" s="1"/>
  <c r="E5" i="39"/>
  <c r="E13" i="39" s="1"/>
  <c r="D5" i="39"/>
  <c r="D13" i="39" s="1"/>
  <c r="C5" i="39"/>
  <c r="D16" i="41"/>
  <c r="C19" i="40"/>
  <c r="C10" i="40"/>
  <c r="I7" i="40"/>
  <c r="H7" i="40"/>
  <c r="C7" i="32"/>
  <c r="B7" i="32"/>
  <c r="O18" i="30"/>
  <c r="N18" i="30"/>
  <c r="M18" i="30"/>
  <c r="L18" i="30"/>
  <c r="K18" i="30"/>
  <c r="J18" i="30"/>
  <c r="I18" i="30"/>
  <c r="H18" i="30"/>
  <c r="G18" i="30"/>
  <c r="F18" i="30"/>
  <c r="E18" i="30"/>
  <c r="D18" i="30"/>
  <c r="AB12" i="30"/>
  <c r="AA12" i="30"/>
  <c r="Z12" i="30"/>
  <c r="M12" i="30"/>
  <c r="L12" i="30"/>
  <c r="K12" i="30"/>
  <c r="J12" i="30"/>
  <c r="I12" i="30"/>
  <c r="H12" i="30"/>
  <c r="E12" i="30"/>
  <c r="D12" i="30"/>
  <c r="AB11" i="30"/>
  <c r="AA11" i="30"/>
  <c r="Z11" i="30"/>
  <c r="AB10" i="30"/>
  <c r="AA10" i="30"/>
  <c r="Z10" i="30"/>
  <c r="O10" i="30"/>
  <c r="N10" i="30"/>
  <c r="AB9" i="30"/>
  <c r="AA9" i="30"/>
  <c r="Z9" i="30"/>
  <c r="G9" i="30"/>
  <c r="G12" i="30" s="1"/>
  <c r="F9" i="30"/>
  <c r="AB8" i="30"/>
  <c r="AA8" i="30"/>
  <c r="Z8" i="30"/>
  <c r="N8" i="30"/>
  <c r="AB7" i="30"/>
  <c r="AA7" i="30"/>
  <c r="Z7" i="30"/>
  <c r="B3" i="30"/>
  <c r="I23" i="50"/>
  <c r="H23" i="50"/>
  <c r="G23" i="50"/>
  <c r="F23" i="50"/>
  <c r="E23" i="50"/>
  <c r="D23" i="50"/>
  <c r="I19" i="50"/>
  <c r="H19" i="50"/>
  <c r="G19" i="50"/>
  <c r="F19" i="50"/>
  <c r="E19" i="50"/>
  <c r="D19" i="50"/>
  <c r="I15" i="50"/>
  <c r="H15" i="50"/>
  <c r="E15" i="50"/>
  <c r="D15" i="50"/>
  <c r="G11" i="50"/>
  <c r="G10" i="50"/>
  <c r="F9" i="50"/>
  <c r="G8" i="50"/>
  <c r="G15" i="50" s="1"/>
  <c r="F8" i="50"/>
  <c r="B3" i="50"/>
  <c r="J12" i="47"/>
  <c r="I12" i="47"/>
  <c r="J11" i="47"/>
  <c r="I11" i="47"/>
  <c r="J10" i="47"/>
  <c r="I10" i="47"/>
  <c r="J9" i="47"/>
  <c r="I9" i="47"/>
  <c r="J8" i="47"/>
  <c r="I8" i="47"/>
  <c r="J6" i="47"/>
  <c r="I6" i="47"/>
  <c r="I40" i="27"/>
  <c r="V37" i="27"/>
  <c r="U37" i="27"/>
  <c r="T37" i="27"/>
  <c r="S37" i="27"/>
  <c r="R37" i="27"/>
  <c r="Q37" i="27"/>
  <c r="P37" i="27"/>
  <c r="N37" i="27"/>
  <c r="M37" i="27"/>
  <c r="L37" i="27"/>
  <c r="J37" i="27"/>
  <c r="H37" i="27"/>
  <c r="F37" i="27"/>
  <c r="E37" i="27"/>
  <c r="D37" i="27"/>
  <c r="I36" i="27"/>
  <c r="G36" i="27"/>
  <c r="T32" i="27"/>
  <c r="S32" i="27"/>
  <c r="R32" i="27"/>
  <c r="Q32" i="27"/>
  <c r="N32" i="27"/>
  <c r="M32" i="27"/>
  <c r="L32" i="27"/>
  <c r="I32" i="27"/>
  <c r="H32" i="27"/>
  <c r="F32" i="27"/>
  <c r="D32" i="27"/>
  <c r="T26" i="27"/>
  <c r="S26" i="27"/>
  <c r="R26" i="27"/>
  <c r="Q26" i="27"/>
  <c r="N26" i="27"/>
  <c r="L26" i="27"/>
  <c r="F26" i="27"/>
  <c r="E26" i="27"/>
  <c r="D26" i="27"/>
  <c r="M25" i="27"/>
  <c r="O25" i="27" s="1"/>
  <c r="I25" i="27"/>
  <c r="H25" i="27"/>
  <c r="J25" i="27" s="1"/>
  <c r="M24" i="27"/>
  <c r="O24" i="27" s="1"/>
  <c r="I24" i="27"/>
  <c r="H24" i="27"/>
  <c r="J24" i="27" s="1"/>
  <c r="G24" i="27"/>
  <c r="M23" i="27"/>
  <c r="O23" i="27" s="1"/>
  <c r="I23" i="27"/>
  <c r="H23" i="27"/>
  <c r="J23" i="27" s="1"/>
  <c r="G23" i="27"/>
  <c r="M22" i="27"/>
  <c r="I22" i="27"/>
  <c r="H22" i="27"/>
  <c r="G22" i="27"/>
  <c r="E19" i="27"/>
  <c r="S18" i="27"/>
  <c r="R18" i="27"/>
  <c r="F18" i="27"/>
  <c r="AI17" i="27"/>
  <c r="AH17" i="27"/>
  <c r="AG17" i="27"/>
  <c r="M17" i="27"/>
  <c r="I17" i="27"/>
  <c r="H17" i="27"/>
  <c r="J17" i="27" s="1"/>
  <c r="G17" i="27"/>
  <c r="AI16" i="27"/>
  <c r="AH16" i="27"/>
  <c r="V24" i="27" s="1"/>
  <c r="AG16" i="27"/>
  <c r="M16" i="27"/>
  <c r="O16" i="27" s="1"/>
  <c r="I16" i="27"/>
  <c r="H16" i="27"/>
  <c r="J16" i="27" s="1"/>
  <c r="G16" i="27"/>
  <c r="AI15" i="27"/>
  <c r="AH15" i="27"/>
  <c r="V22" i="27" s="1"/>
  <c r="AG15" i="27"/>
  <c r="M15" i="27"/>
  <c r="O15" i="27" s="1"/>
  <c r="I15" i="27"/>
  <c r="H15" i="27"/>
  <c r="J15" i="27" s="1"/>
  <c r="G15" i="27"/>
  <c r="AI14" i="27"/>
  <c r="AH14" i="27"/>
  <c r="V25" i="27" s="1"/>
  <c r="AG14" i="27"/>
  <c r="T14" i="27"/>
  <c r="T19" i="27" s="1"/>
  <c r="S14" i="27"/>
  <c r="R14" i="27"/>
  <c r="R19" i="27" s="1"/>
  <c r="Q14" i="27"/>
  <c r="N14" i="27"/>
  <c r="M14" i="27"/>
  <c r="M19" i="27" s="1"/>
  <c r="L14" i="27"/>
  <c r="L19" i="27" s="1"/>
  <c r="I14" i="27"/>
  <c r="F14" i="27"/>
  <c r="D14" i="27"/>
  <c r="D19" i="27" s="1"/>
  <c r="AI13" i="27"/>
  <c r="AH13" i="27"/>
  <c r="V23" i="27" s="1"/>
  <c r="AG13" i="27"/>
  <c r="H13" i="27"/>
  <c r="J13" i="27" s="1"/>
  <c r="AI12" i="27"/>
  <c r="AH12" i="27"/>
  <c r="AG12" i="27"/>
  <c r="J12" i="27"/>
  <c r="AI11" i="27"/>
  <c r="AH11" i="27"/>
  <c r="V17" i="27" s="1"/>
  <c r="AG11" i="27"/>
  <c r="H11" i="27"/>
  <c r="AI10" i="27"/>
  <c r="AH10" i="27"/>
  <c r="V15" i="27" s="1"/>
  <c r="AG10" i="27"/>
  <c r="H10" i="27"/>
  <c r="J10" i="27" s="1"/>
  <c r="AI9" i="27"/>
  <c r="AH9" i="27"/>
  <c r="V16" i="27" s="1"/>
  <c r="AG9" i="27"/>
  <c r="H9" i="27"/>
  <c r="J9" i="27" s="1"/>
  <c r="AI8" i="27"/>
  <c r="AH8" i="27"/>
  <c r="AG8" i="27"/>
  <c r="V8" i="27"/>
  <c r="U8" i="27"/>
  <c r="P8" i="27"/>
  <c r="H8" i="27"/>
  <c r="AI7" i="27"/>
  <c r="AH7" i="27"/>
  <c r="V18" i="27" s="1"/>
  <c r="AG7" i="27"/>
  <c r="P18" i="27" s="1"/>
  <c r="M28" i="25"/>
  <c r="K28" i="25"/>
  <c r="J28" i="25"/>
  <c r="M26" i="25"/>
  <c r="K26" i="25"/>
  <c r="J26" i="25"/>
  <c r="M25" i="25"/>
  <c r="K25" i="25"/>
  <c r="J25" i="25"/>
  <c r="M21" i="25"/>
  <c r="K21" i="25"/>
  <c r="J21" i="25"/>
  <c r="M20" i="25"/>
  <c r="K20" i="25"/>
  <c r="J20" i="25"/>
  <c r="M19" i="25"/>
  <c r="K19" i="25"/>
  <c r="J19" i="25"/>
  <c r="M14" i="25"/>
  <c r="K14" i="25"/>
  <c r="J14" i="25"/>
  <c r="M13" i="25"/>
  <c r="K13" i="25"/>
  <c r="J13" i="25"/>
  <c r="M12" i="25"/>
  <c r="K12" i="25"/>
  <c r="J12" i="25"/>
  <c r="M9" i="25"/>
  <c r="K9" i="25"/>
  <c r="J9" i="25"/>
  <c r="H14" i="27" l="1"/>
  <c r="H19" i="27" s="1"/>
  <c r="J8" i="27"/>
  <c r="U13" i="27"/>
  <c r="P13" i="27"/>
  <c r="U12" i="27"/>
  <c r="P12" i="27"/>
  <c r="U11" i="27"/>
  <c r="P11" i="27"/>
  <c r="U10" i="27"/>
  <c r="P10" i="27"/>
  <c r="U9" i="27"/>
  <c r="U14" i="27" s="1"/>
  <c r="P9" i="27"/>
  <c r="P14" i="27" s="1"/>
  <c r="V13" i="27"/>
  <c r="V12" i="27"/>
  <c r="V11" i="27"/>
  <c r="V10" i="27"/>
  <c r="V9" i="27"/>
  <c r="V14" i="27" s="1"/>
  <c r="V19" i="27" s="1"/>
  <c r="U16" i="27"/>
  <c r="P16" i="27"/>
  <c r="U15" i="27"/>
  <c r="P15" i="27"/>
  <c r="J11" i="27"/>
  <c r="U17" i="27"/>
  <c r="P17" i="27"/>
  <c r="U31" i="27"/>
  <c r="P31" i="27"/>
  <c r="U30" i="27"/>
  <c r="P30" i="27"/>
  <c r="U29" i="27"/>
  <c r="P29" i="27"/>
  <c r="U28" i="27"/>
  <c r="U32" i="27" s="1"/>
  <c r="P28" i="27"/>
  <c r="P32" i="27" s="1"/>
  <c r="V31" i="27"/>
  <c r="V30" i="27"/>
  <c r="V29" i="27"/>
  <c r="V28" i="27"/>
  <c r="V32" i="27" s="1"/>
  <c r="U23" i="27"/>
  <c r="P23" i="27"/>
  <c r="F19" i="27"/>
  <c r="G14" i="27"/>
  <c r="I19" i="27"/>
  <c r="D16" i="40"/>
  <c r="D7" i="40"/>
  <c r="N19" i="27"/>
  <c r="O14" i="27"/>
  <c r="Q19" i="27"/>
  <c r="S19" i="27"/>
  <c r="U25" i="27"/>
  <c r="P25" i="27"/>
  <c r="K15" i="27"/>
  <c r="U22" i="27"/>
  <c r="P22" i="27"/>
  <c r="V26" i="27"/>
  <c r="K16" i="27"/>
  <c r="U24" i="27"/>
  <c r="P24" i="27"/>
  <c r="K17" i="27"/>
  <c r="U18" i="27"/>
  <c r="H26" i="27"/>
  <c r="J22" i="27"/>
  <c r="I26" i="27"/>
  <c r="M26" i="27"/>
  <c r="O22" i="27"/>
  <c r="K23" i="27"/>
  <c r="K24" i="27"/>
  <c r="K25" i="27"/>
  <c r="G26" i="27"/>
  <c r="O26" i="27"/>
  <c r="G32" i="27"/>
  <c r="J32" i="27"/>
  <c r="D17" i="40"/>
  <c r="E17" i="40" s="1"/>
  <c r="D8" i="40"/>
  <c r="E8" i="40" s="1"/>
  <c r="O32" i="27"/>
  <c r="I37" i="27"/>
  <c r="K36" i="27"/>
  <c r="K37" i="27" s="1"/>
  <c r="D39" i="27"/>
  <c r="E39" i="27"/>
  <c r="F39" i="27"/>
  <c r="G39" i="27" s="1"/>
  <c r="G37" i="27"/>
  <c r="H39" i="27"/>
  <c r="L39" i="27"/>
  <c r="M39" i="27"/>
  <c r="N39" i="27"/>
  <c r="Q39" i="27"/>
  <c r="R39" i="27"/>
  <c r="S39" i="27"/>
  <c r="T39" i="27"/>
  <c r="V39" i="27"/>
  <c r="K40" i="27"/>
  <c r="F15" i="50"/>
  <c r="D25" i="50"/>
  <c r="E25" i="50"/>
  <c r="F25" i="50"/>
  <c r="G25" i="50"/>
  <c r="H25" i="50"/>
  <c r="I25" i="50"/>
  <c r="O15" i="30"/>
  <c r="N15" i="30"/>
  <c r="O14" i="30"/>
  <c r="N14" i="30"/>
  <c r="O9" i="30"/>
  <c r="N9" i="30"/>
  <c r="F12" i="30"/>
  <c r="O11" i="30"/>
  <c r="N11" i="30"/>
  <c r="D20" i="30"/>
  <c r="E20" i="30"/>
  <c r="F20" i="30"/>
  <c r="G20" i="30"/>
  <c r="H20" i="30"/>
  <c r="I20" i="30"/>
  <c r="J20" i="30"/>
  <c r="K20" i="30"/>
  <c r="L20" i="30"/>
  <c r="M20" i="30"/>
  <c r="D7" i="32"/>
  <c r="F7" i="32" s="1"/>
  <c r="C12" i="40"/>
  <c r="C21" i="40"/>
  <c r="C13" i="39"/>
  <c r="G5" i="39"/>
  <c r="G13" i="39" s="1"/>
  <c r="D26" i="39"/>
  <c r="K6" i="47" s="1"/>
  <c r="D18" i="39"/>
  <c r="M6" i="47" s="1"/>
  <c r="E26" i="39"/>
  <c r="E18" i="39"/>
  <c r="F26" i="39"/>
  <c r="F18" i="39"/>
  <c r="H29" i="39"/>
  <c r="H26" i="39"/>
  <c r="K9" i="47" s="1"/>
  <c r="H18" i="39"/>
  <c r="M9" i="47" s="1"/>
  <c r="I29" i="39"/>
  <c r="I26" i="39"/>
  <c r="K8" i="47" s="1"/>
  <c r="I18" i="39"/>
  <c r="M8" i="47" s="1"/>
  <c r="J29" i="39"/>
  <c r="J31" i="39" s="1"/>
  <c r="L10" i="47" s="1"/>
  <c r="J26" i="39"/>
  <c r="K10" i="47" s="1"/>
  <c r="J18" i="39"/>
  <c r="M10" i="47" s="1"/>
  <c r="K29" i="39"/>
  <c r="K31" i="39" s="1"/>
  <c r="L11" i="47" s="1"/>
  <c r="K26" i="39"/>
  <c r="K11" i="47" s="1"/>
  <c r="K18" i="39"/>
  <c r="M11" i="47" s="1"/>
  <c r="L29" i="39"/>
  <c r="L26" i="39"/>
  <c r="K12" i="47" s="1"/>
  <c r="L18" i="39"/>
  <c r="M12" i="47" s="1"/>
  <c r="M29" i="39"/>
  <c r="M26" i="39"/>
  <c r="M18" i="39"/>
  <c r="G17" i="39"/>
  <c r="C23" i="39"/>
  <c r="G21" i="39"/>
  <c r="G23" i="39" s="1"/>
  <c r="J5" i="47" s="1"/>
  <c r="C44" i="39"/>
  <c r="G34" i="39"/>
  <c r="C48" i="39"/>
  <c r="G48" i="39" s="1"/>
  <c r="G45" i="39"/>
  <c r="C49" i="39" l="1"/>
  <c r="G44" i="39"/>
  <c r="G49" i="39" s="1"/>
  <c r="I5" i="47" s="1"/>
  <c r="M31" i="39"/>
  <c r="E29" i="39"/>
  <c r="E31" i="39" s="1"/>
  <c r="L31" i="39"/>
  <c r="L12" i="47" s="1"/>
  <c r="F29" i="39"/>
  <c r="F31" i="39" s="1"/>
  <c r="I31" i="39"/>
  <c r="L8" i="47" s="1"/>
  <c r="D29" i="39"/>
  <c r="D31" i="39" s="1"/>
  <c r="L6" i="47" s="1"/>
  <c r="H31" i="39"/>
  <c r="L9" i="47" s="1"/>
  <c r="C29" i="39"/>
  <c r="G26" i="39"/>
  <c r="K5" i="47" s="1"/>
  <c r="G18" i="39"/>
  <c r="M5" i="47" s="1"/>
  <c r="C26" i="39"/>
  <c r="C18" i="39"/>
  <c r="N12" i="30"/>
  <c r="N20" i="30" s="1"/>
  <c r="O12" i="30"/>
  <c r="O20" i="30" s="1"/>
  <c r="O39" i="27"/>
  <c r="I39" i="27"/>
  <c r="K32" i="27"/>
  <c r="D18" i="40"/>
  <c r="E18" i="40" s="1"/>
  <c r="D9" i="40"/>
  <c r="E9" i="40" s="1"/>
  <c r="J26" i="27"/>
  <c r="K22" i="27"/>
  <c r="P26" i="27"/>
  <c r="U26" i="27"/>
  <c r="O19" i="27"/>
  <c r="D10" i="40"/>
  <c r="E7" i="40"/>
  <c r="D19" i="40"/>
  <c r="E16" i="40"/>
  <c r="G19" i="27"/>
  <c r="P19" i="27"/>
  <c r="U19" i="27"/>
  <c r="J14" i="27"/>
  <c r="J19" i="27" l="1"/>
  <c r="K14" i="27"/>
  <c r="D21" i="40"/>
  <c r="E21" i="40" s="1"/>
  <c r="E19" i="40"/>
  <c r="D12" i="40"/>
  <c r="E12" i="40" s="1"/>
  <c r="E10" i="40"/>
  <c r="U39" i="27"/>
  <c r="P39" i="27"/>
  <c r="K26" i="27"/>
  <c r="J39" i="27"/>
  <c r="C31" i="39"/>
  <c r="G29" i="39"/>
  <c r="G31" i="39" s="1"/>
  <c r="L5" i="47" s="1"/>
  <c r="K39" i="27" l="1"/>
  <c r="K19" i="27"/>
</calcChain>
</file>

<file path=xl/sharedStrings.xml><?xml version="1.0" encoding="utf-8"?>
<sst xmlns="http://schemas.openxmlformats.org/spreadsheetml/2006/main" count="675" uniqueCount="317">
  <si>
    <t>Energy Efficiency and PDR Savings Summary</t>
  </si>
  <si>
    <t>RACHEL - COLLAPSE E PRODUCTS</t>
  </si>
  <si>
    <t xml:space="preserve"> </t>
  </si>
  <si>
    <t xml:space="preserve">  </t>
  </si>
  <si>
    <t>Ex Ante Gross Savings</t>
  </si>
  <si>
    <t>Realization Rate</t>
  </si>
  <si>
    <t>Actual Expenditures</t>
  </si>
  <si>
    <t>Participation</t>
  </si>
  <si>
    <t>Weighted Program Measure Life</t>
  </si>
  <si>
    <t>NJ Cost Test Ratio</t>
  </si>
  <si>
    <t>A</t>
  </si>
  <si>
    <t>B</t>
  </si>
  <si>
    <t>C</t>
  </si>
  <si>
    <t>D</t>
  </si>
  <si>
    <t>E</t>
  </si>
  <si>
    <t>F</t>
  </si>
  <si>
    <t>G=F/(A*1,000)</t>
  </si>
  <si>
    <t>I</t>
  </si>
  <si>
    <t>J=C/A</t>
  </si>
  <si>
    <t>K</t>
  </si>
  <si>
    <t>First Year Annual Energy Savings (MWh)</t>
  </si>
  <si>
    <t>First Year Peak Demand Savings (MW)</t>
  </si>
  <si>
    <t>Lifetime Savings (MWh)</t>
  </si>
  <si>
    <t>Energy Savings (Ex Post Gross/Ex Ante Gross)</t>
  </si>
  <si>
    <t>Demand Savings (Ex Post Gross/Ex Ante Gross)</t>
  </si>
  <si>
    <t>Program Costs ($)</t>
  </si>
  <si>
    <t>Ex Ante First Year Cost Per First Year Annual Savings ($/kWh)</t>
  </si>
  <si>
    <t>Ex Ante Cost per Lifetime Savings ($/kWh)</t>
  </si>
  <si>
    <t>Total Participation Number</t>
  </si>
  <si>
    <t>Years</t>
  </si>
  <si>
    <t xml:space="preserve">C/E Score By Program </t>
  </si>
  <si>
    <t>Residential Programs</t>
  </si>
  <si>
    <t>Sub Program</t>
  </si>
  <si>
    <t>Efficient Products</t>
  </si>
  <si>
    <t>Existing Homes</t>
  </si>
  <si>
    <t>Home Performance with Energy Star</t>
  </si>
  <si>
    <t>Quick Home Energy Checkup</t>
  </si>
  <si>
    <t>Moderate Income Weatherization</t>
  </si>
  <si>
    <t>Home Energy Education &amp; Management</t>
  </si>
  <si>
    <t>Behavioral</t>
  </si>
  <si>
    <t>Total Residential</t>
  </si>
  <si>
    <t>Business Programs</t>
  </si>
  <si>
    <t>C&amp;I Direct Install</t>
  </si>
  <si>
    <t>Direct Install</t>
  </si>
  <si>
    <t>Energy Solutions for Business</t>
  </si>
  <si>
    <t>Prescriptive/Custom</t>
  </si>
  <si>
    <t>Energy Management</t>
  </si>
  <si>
    <t>Engineered Solutions</t>
  </si>
  <si>
    <t>Total Business</t>
  </si>
  <si>
    <t>Multifamily</t>
  </si>
  <si>
    <t>Other Programs</t>
  </si>
  <si>
    <t>Home Optimization &amp; Peak Demand Reduction</t>
  </si>
  <si>
    <t>Total Other</t>
  </si>
  <si>
    <t>Portfolio Total</t>
  </si>
  <si>
    <t>Supportive Costs Outside Portfolio</t>
  </si>
  <si>
    <t>For Period Ending PY23 Q1</t>
  </si>
  <si>
    <t>7/1/2022-9/30/2022</t>
  </si>
  <si>
    <t>Ex Ante Energy Savings</t>
  </si>
  <si>
    <t>**Supplement for Annual Report</t>
  </si>
  <si>
    <t>D=C/B</t>
  </si>
  <si>
    <t>G</t>
  </si>
  <si>
    <t>H=G/F</t>
  </si>
  <si>
    <t>J</t>
  </si>
  <si>
    <t>L=K/J</t>
  </si>
  <si>
    <t>M</t>
  </si>
  <si>
    <t>N</t>
  </si>
  <si>
    <t>O</t>
  </si>
  <si>
    <t>P</t>
  </si>
  <si>
    <t>Q</t>
  </si>
  <si>
    <t>R</t>
  </si>
  <si>
    <t>S</t>
  </si>
  <si>
    <t>Current Quarter</t>
  </si>
  <si>
    <t>Annual Forecasted Participation Number</t>
  </si>
  <si>
    <t>Reported Participation Number YTD</t>
  </si>
  <si>
    <t>YTD % of Annual Participants</t>
  </si>
  <si>
    <t>Current Quarter ($000)</t>
  </si>
  <si>
    <r>
      <t>Annual Forecasted Program Costs ($000)</t>
    </r>
    <r>
      <rPr>
        <vertAlign val="superscript"/>
        <sz val="9"/>
        <color rgb="FFFFFFFF"/>
        <rFont val="Calibri"/>
        <family val="2"/>
        <scheme val="minor"/>
      </rPr>
      <t>2</t>
    </r>
  </si>
  <si>
    <t>Reported Program Costs YTD ($000)</t>
  </si>
  <si>
    <t>YTD % of Annual Budget</t>
  </si>
  <si>
    <t>Current Quarter Annual Retail Energy Savings (MWh)</t>
  </si>
  <si>
    <t>Annual Forecasted Retail Energy Savings (MWh)</t>
  </si>
  <si>
    <t>Reported Annual Retail Energy Savings YTD (MWh)</t>
  </si>
  <si>
    <t>YTD % of Annual Energy Savings</t>
  </si>
  <si>
    <t>Current Quarter  Annual Wholesale Energy Savings (MWh)</t>
  </si>
  <si>
    <t>Retail Peak Demand Savings YTD (MW)</t>
  </si>
  <si>
    <t>Current Quarter Lifetime Retail Energy Savings (MWh)</t>
  </si>
  <si>
    <t>Reported Lifetime Retail Energy Savings YTD (MWh)</t>
  </si>
  <si>
    <t>Current Quarter Retail Peak Demand Savings (MW)</t>
  </si>
  <si>
    <t>Current Quarter  Lifetime Wholesale Energy Savings (MWh)</t>
  </si>
  <si>
    <t>Current Quarter Wholesale Peak Demand Savings (MW)</t>
  </si>
  <si>
    <t>Count</t>
  </si>
  <si>
    <t>Sector</t>
  </si>
  <si>
    <t>Sub-Programs</t>
  </si>
  <si>
    <t>Weighted Electric Losses - Energy</t>
  </si>
  <si>
    <t>Weighted Electric Losses - Demand</t>
  </si>
  <si>
    <t>Weighted Natural Gas Losses</t>
  </si>
  <si>
    <r>
      <t>Sub Program or Category</t>
    </r>
    <r>
      <rPr>
        <b/>
        <vertAlign val="superscript"/>
        <sz val="11"/>
        <color theme="1"/>
        <rFont val="Calibri"/>
        <family val="2"/>
        <scheme val="minor"/>
      </rPr>
      <t>1</t>
    </r>
  </si>
  <si>
    <t>Res</t>
  </si>
  <si>
    <t>Home Energy Reports</t>
  </si>
  <si>
    <t>Efficient Products*</t>
  </si>
  <si>
    <t>HVAC</t>
  </si>
  <si>
    <t>N/A</t>
  </si>
  <si>
    <t>Appliance Rebates</t>
  </si>
  <si>
    <t>Existing Homes QHEC</t>
  </si>
  <si>
    <t>Appliance Recycling</t>
  </si>
  <si>
    <t>Existing Homes HPwES</t>
  </si>
  <si>
    <t>Online Marketplace</t>
  </si>
  <si>
    <t>LMI</t>
  </si>
  <si>
    <t>Food Banks</t>
  </si>
  <si>
    <t>MF</t>
  </si>
  <si>
    <t>Multi-Family</t>
  </si>
  <si>
    <t>Others - Lighting</t>
  </si>
  <si>
    <t>C&amp;I</t>
  </si>
  <si>
    <t>Energy Solutions for Business: Prescriptive and Custom</t>
  </si>
  <si>
    <t>Subtotal Efficient Products</t>
  </si>
  <si>
    <t xml:space="preserve">Energy Solutions for Business: Engineered Solutions </t>
  </si>
  <si>
    <t>Home Performance with Energy Star*</t>
  </si>
  <si>
    <t xml:space="preserve">Direct Install </t>
  </si>
  <si>
    <r>
      <t>Quick Home Energy Check-Up</t>
    </r>
    <r>
      <rPr>
        <vertAlign val="superscript"/>
        <sz val="11"/>
        <rFont val="Calibri"/>
        <family val="2"/>
        <scheme val="minor"/>
      </rPr>
      <t>3</t>
    </r>
  </si>
  <si>
    <t xml:space="preserve">                           -  </t>
  </si>
  <si>
    <t xml:space="preserve">Energy Solutions for Business: Energy Management </t>
  </si>
  <si>
    <t>Portfolio</t>
  </si>
  <si>
    <t>Portfolio Costs</t>
  </si>
  <si>
    <r>
      <t>Behavioral</t>
    </r>
    <r>
      <rPr>
        <vertAlign val="superscript"/>
        <sz val="11"/>
        <rFont val="Calibri"/>
        <family val="2"/>
        <scheme val="minor"/>
      </rPr>
      <t>3</t>
    </r>
  </si>
  <si>
    <t>Sub-Program</t>
  </si>
  <si>
    <t>Direct Install*</t>
  </si>
  <si>
    <r>
      <t>Prescriptive/Custom*</t>
    </r>
    <r>
      <rPr>
        <vertAlign val="superscript"/>
        <sz val="11"/>
        <color theme="1"/>
        <rFont val="Calibri"/>
        <family val="2"/>
        <scheme val="minor"/>
      </rPr>
      <t>4</t>
    </r>
  </si>
  <si>
    <t>Multi-Family*</t>
  </si>
  <si>
    <t>HPwES</t>
  </si>
  <si>
    <t>Prescriptive/Custom*</t>
  </si>
  <si>
    <t>Subtotal Multi-Family</t>
  </si>
  <si>
    <t>Comfort Partners</t>
  </si>
  <si>
    <r>
      <rPr>
        <vertAlign val="superscript"/>
        <sz val="11"/>
        <rFont val="Calibri"/>
        <family val="2"/>
        <scheme val="minor"/>
      </rPr>
      <t>1</t>
    </r>
    <r>
      <rPr>
        <sz val="11"/>
        <rFont val="Calibri"/>
        <family val="2"/>
        <scheme val="minor"/>
      </rPr>
      <t xml:space="preserve"> Subprograms provide relevant forecasts as included in the Company's approved EE/PDR Plans.  Program delivery elements are generally listed as categories for informational purposes only.</t>
    </r>
  </si>
  <si>
    <r>
      <rPr>
        <vertAlign val="superscript"/>
        <sz val="11"/>
        <rFont val="Calibri"/>
        <family val="2"/>
        <scheme val="minor"/>
      </rPr>
      <t>2</t>
    </r>
    <r>
      <rPr>
        <sz val="11"/>
        <rFont val="Calibri"/>
        <family val="2"/>
        <scheme val="minor"/>
      </rPr>
      <t xml:space="preserve"> Annual Forecasted Program Costs reflect values anticipated in Board-approved Utility EE/PDR proposals and may incorporate budget adjustments as provided for in the June 10, 2020 Board Order.</t>
    </r>
  </si>
  <si>
    <r>
      <rPr>
        <vertAlign val="superscript"/>
        <sz val="11"/>
        <rFont val="Calibri"/>
        <family val="2"/>
        <scheme val="minor"/>
      </rPr>
      <t>3</t>
    </r>
    <r>
      <rPr>
        <sz val="11"/>
        <rFont val="Calibri"/>
        <family val="2"/>
        <scheme val="minor"/>
      </rPr>
      <t xml:space="preserve"> Quick Home Energy Check-Up and Behavioral Program costs in PY23 aresupported by merger funding. Savings and costs from these programs are supported by CEA, as permitted by the June 10th Board Order.  </t>
    </r>
  </si>
  <si>
    <r>
      <rPr>
        <vertAlign val="superscript"/>
        <sz val="11"/>
        <rFont val="Calibri"/>
        <family val="2"/>
        <scheme val="minor"/>
      </rPr>
      <t>4</t>
    </r>
    <r>
      <rPr>
        <sz val="11"/>
        <rFont val="Calibri"/>
        <family val="2"/>
        <scheme val="minor"/>
      </rPr>
      <t xml:space="preserve"> The participant definition for the Prescriptive/Custom component of the Energy Solutions for Business program as agreed upon by the joint utilities represents the count of projects while the forecast established in ACE's filed plan represents the count of measures. </t>
    </r>
  </si>
  <si>
    <t>* Denotes a core EE program. Home Performance with Energy Star only includes non-LMI; the comparable program for LMI participants is Comfort Partners, which is jointly administered by the State and Utilities.</t>
  </si>
  <si>
    <t>Annual Forecasted Participants</t>
  </si>
  <si>
    <t>Percent of Annual Forecast</t>
  </si>
  <si>
    <t>Residential</t>
  </si>
  <si>
    <t>Reported Totals for Utility Administered Programs</t>
  </si>
  <si>
    <t>Utility Total</t>
  </si>
  <si>
    <t>Annual Budget Expenditures ($000)</t>
  </si>
  <si>
    <t>Percent of Annual Budget</t>
  </si>
  <si>
    <t>Percent of Annual Target</t>
  </si>
  <si>
    <t>Quarter Reported ($000)</t>
  </si>
  <si>
    <t>Full Year Budget ($000)</t>
  </si>
  <si>
    <t>Capital Costs</t>
  </si>
  <si>
    <t>Utility Administration</t>
  </si>
  <si>
    <t>Marketing</t>
  </si>
  <si>
    <t>Outside Services</t>
  </si>
  <si>
    <t>Rebates</t>
  </si>
  <si>
    <t>No- or Low-Interest Loans</t>
  </si>
  <si>
    <t>Inspections &amp; Quality Control</t>
  </si>
  <si>
    <t>Table 8 -  Benefit-Cost Test Results</t>
  </si>
  <si>
    <t>Initial</t>
  </si>
  <si>
    <t>Final</t>
  </si>
  <si>
    <t>NJCT</t>
  </si>
  <si>
    <t>PCT</t>
  </si>
  <si>
    <t>PACT</t>
  </si>
  <si>
    <t>RIMT</t>
  </si>
  <si>
    <t>TRCT</t>
  </si>
  <si>
    <t>SCT</t>
  </si>
  <si>
    <t>TBD</t>
  </si>
  <si>
    <t>Quick Home Energy Check-Up</t>
  </si>
  <si>
    <t>Incentive Expenditures (Customer Rebates and Low/no-cost financing)</t>
  </si>
  <si>
    <t>Reported Incentive Costs YTD ($000)</t>
  </si>
  <si>
    <t>Reported Retail Energy Savings YTD (MWh)</t>
  </si>
  <si>
    <t>Non-LMI or Unverified</t>
  </si>
  <si>
    <t>Others</t>
  </si>
  <si>
    <r>
      <t>Home Performance with Energy Star</t>
    </r>
    <r>
      <rPr>
        <vertAlign val="superscript"/>
        <sz val="10"/>
        <rFont val="Times New Roman"/>
        <family val="1"/>
      </rPr>
      <t>1</t>
    </r>
    <r>
      <rPr>
        <sz val="10"/>
        <color theme="1"/>
        <rFont val="Times New Roman"/>
        <family val="1"/>
      </rPr>
      <t xml:space="preserve"> </t>
    </r>
  </si>
  <si>
    <t xml:space="preserve"> N/A </t>
  </si>
  <si>
    <t>Direct Installation/MF QHEC</t>
  </si>
  <si>
    <t>Total Multi-Family</t>
  </si>
  <si>
    <t>NONE</t>
  </si>
  <si>
    <r>
      <rPr>
        <vertAlign val="superscript"/>
        <sz val="11"/>
        <rFont val="Times New Roman"/>
        <family val="1"/>
      </rPr>
      <t>1</t>
    </r>
    <r>
      <rPr>
        <sz val="11"/>
        <rFont val="Times New Roman"/>
        <family val="1"/>
      </rPr>
      <t>Income-qualified customers are directed to participate through the Comfort Partners or Moderate Income Weatherization programs.</t>
    </r>
  </si>
  <si>
    <t>H</t>
  </si>
  <si>
    <t>Reported Lifetime Retail Energy Savings Current Quarter (MWh)</t>
  </si>
  <si>
    <t>Reported Lifetime Wholesale Energy Savings Current Quarter (MWh)</t>
  </si>
  <si>
    <t>Small Commercial</t>
  </si>
  <si>
    <t>Large Commercial</t>
  </si>
  <si>
    <t>Table 1</t>
  </si>
  <si>
    <t>Reported Retail Sales Savings</t>
  </si>
  <si>
    <t>Sales Baseline (MWh or DTh)2</t>
  </si>
  <si>
    <t>Percent of Sales</t>
  </si>
  <si>
    <t>Annual Target (MWh or DTh)</t>
  </si>
  <si>
    <t>Percent of Annual Target Achieved</t>
  </si>
  <si>
    <t>Utility Operated Programs</t>
  </si>
  <si>
    <t>Other Programs1</t>
  </si>
  <si>
    <t>Total</t>
  </si>
  <si>
    <t>8.18 - suggestion from Ann-Marie for Table 1</t>
  </si>
  <si>
    <t>Table 2</t>
  </si>
  <si>
    <t>Table 1 structure</t>
  </si>
  <si>
    <r>
      <t>Sector</t>
    </r>
    <r>
      <rPr>
        <vertAlign val="superscript"/>
        <sz val="9"/>
        <color indexed="9"/>
        <rFont val="Calibri"/>
        <family val="2"/>
        <scheme val="minor"/>
      </rPr>
      <t>1</t>
    </r>
  </si>
  <si>
    <t>Quarter Participants</t>
  </si>
  <si>
    <t>YTD Participants</t>
  </si>
  <si>
    <t>a</t>
  </si>
  <si>
    <t>Comfort Partners savings</t>
  </si>
  <si>
    <t>b</t>
  </si>
  <si>
    <t>c</t>
  </si>
  <si>
    <t>Total Savings</t>
  </si>
  <si>
    <t>a+b+c=d</t>
  </si>
  <si>
    <t>Sales Baseline</t>
  </si>
  <si>
    <t>e</t>
  </si>
  <si>
    <t>Ferc</t>
  </si>
  <si>
    <t>Percent of Sales Achieved</t>
  </si>
  <si>
    <t>d/e=f</t>
  </si>
  <si>
    <t>Annual Target</t>
  </si>
  <si>
    <t>g</t>
  </si>
  <si>
    <t>from Board Order)</t>
  </si>
  <si>
    <t>Table 3</t>
  </si>
  <si>
    <t>Footnottes:</t>
  </si>
  <si>
    <r>
      <t>Expenditures</t>
    </r>
    <r>
      <rPr>
        <vertAlign val="superscript"/>
        <sz val="9"/>
        <color indexed="9"/>
        <rFont val="Calibri"/>
        <family val="2"/>
        <scheme val="minor"/>
      </rPr>
      <t>1</t>
    </r>
  </si>
  <si>
    <t>Quarter Expenditures ($000)</t>
  </si>
  <si>
    <t>YTD Expenditures ($000)</t>
  </si>
  <si>
    <t>1 = Include merger-commitment programs (QHEC and Behavior)</t>
  </si>
  <si>
    <t>2= Ferc Form</t>
  </si>
  <si>
    <t>Table 4 - Using TRM 2020</t>
  </si>
  <si>
    <r>
      <t>Annual Energy Savings</t>
    </r>
    <r>
      <rPr>
        <vertAlign val="superscript"/>
        <sz val="9"/>
        <color indexed="9"/>
        <rFont val="Calibri"/>
        <family val="2"/>
        <scheme val="minor"/>
      </rPr>
      <t>1</t>
    </r>
  </si>
  <si>
    <t>Quarter Retail (MWh)</t>
  </si>
  <si>
    <t>YTD Retail (MWh)</t>
  </si>
  <si>
    <t>Annual Target Retail Savings (MWh)</t>
  </si>
  <si>
    <t>Table 4 - Using TRM 2022</t>
  </si>
  <si>
    <t>Table 5</t>
  </si>
  <si>
    <t>Total Utility EE/PDR</t>
  </si>
  <si>
    <t>YTD Reported ($000)</t>
  </si>
  <si>
    <t>Percent of Annual Budget Spent</t>
  </si>
  <si>
    <t>Evaluation, Measurement &amp; Verification ("EM&amp;V")</t>
  </si>
  <si>
    <t>Table 7</t>
  </si>
  <si>
    <t>Program 1</t>
  </si>
  <si>
    <t>Program 2</t>
  </si>
  <si>
    <t>Program 3</t>
  </si>
  <si>
    <t>Program 4</t>
  </si>
  <si>
    <t>Table F – Energy Savings with FY2022 TRM Addendum</t>
  </si>
  <si>
    <t>Phil's original language:</t>
  </si>
  <si>
    <t>The June 2020 Board Order states that EE programs are evaluated with the Board approved 2020 Protocols to Measure Resource Savings (“2020 TRM ”) or 2021 TRM Addendum throughout the first triennium.  The EM&amp;V Working Group agreed that the 2020 TRM and 2021 TRM Addendum have dated assumptions and models that lead to overestimation of savings.  The EM&amp;V Working Group created a 2022 TRM Addendum to address these issues.  The utilities’ performance is officially assessed based on values using the 2020 TRM, while the values using the 2022 TRM Addendum are provided for information and planning purposes.  The annual energy savings using the 2020 TRM vs the 2022 TRM Addendum are shown in Figure A-1, and the lifetime energy savings using the 2020 TRM vs the 2022 TRM Addendum are shown in Figure A-2.  Table A-1 shows the sector-level values for the 2022 TRM Addendum, which may be compared to the values shown in Table 5 – Sector-Level Energy Savings, which shows the sector-level values for the 2020 TRM.</t>
  </si>
  <si>
    <t>Table F-1 – Sector-Level Energy Savings:  Primary Metrics</t>
  </si>
  <si>
    <r>
      <t>Annual Energy Savings</t>
    </r>
    <r>
      <rPr>
        <b/>
        <vertAlign val="superscript"/>
        <sz val="12"/>
        <color indexed="9"/>
        <rFont val="Times New Roman"/>
        <family val="1"/>
      </rPr>
      <t>1,</t>
    </r>
    <r>
      <rPr>
        <b/>
        <vertAlign val="superscript"/>
        <sz val="12"/>
        <color rgb="FFFFFFFF"/>
        <rFont val="Times New Roman"/>
        <family val="1"/>
      </rPr>
      <t xml:space="preserve"> 2</t>
    </r>
  </si>
  <si>
    <t>Primary Metrics</t>
  </si>
  <si>
    <t>Secondary Metrics</t>
  </si>
  <si>
    <t>Annual Savings</t>
  </si>
  <si>
    <t>Figure A-1 - Program Year [2022] Portfolio-Level Annual Energy Savings – Primary vs. Seondary Metrics</t>
  </si>
  <si>
    <t>Table F-2 – Sector-Level Energy Savings: Secondary Metrics</t>
  </si>
  <si>
    <r>
      <t>Annual Energy Savings</t>
    </r>
    <r>
      <rPr>
        <vertAlign val="superscript"/>
        <sz val="12"/>
        <color indexed="9"/>
        <rFont val="Times New Roman"/>
        <family val="1"/>
      </rPr>
      <t>1,</t>
    </r>
    <r>
      <rPr>
        <vertAlign val="superscript"/>
        <sz val="12"/>
        <color rgb="FFFFFFFF"/>
        <rFont val="Times New Roman"/>
        <family val="1"/>
      </rPr>
      <t xml:space="preserve"> 2</t>
    </r>
  </si>
  <si>
    <r>
      <t>1</t>
    </r>
    <r>
      <rPr>
        <sz val="9"/>
        <color theme="1"/>
        <rFont val="Times New Roman"/>
        <family val="1"/>
      </rPr>
      <t xml:space="preserve"> Annual energy savings represent the total expected annual savings from all energy efficiency measures within each sector, and not only those measures affected by the FY2022 TRM Addendum.</t>
    </r>
    <r>
      <rPr>
        <vertAlign val="superscript"/>
        <sz val="9"/>
        <color theme="1"/>
        <rFont val="Times New Roman"/>
        <family val="1"/>
      </rPr>
      <t xml:space="preserve">
2</t>
    </r>
    <r>
      <rPr>
        <sz val="9"/>
        <color theme="1"/>
        <rFont val="Times New Roman"/>
        <family val="1"/>
      </rPr>
      <t xml:space="preserve"> Residential sector includes savings from ACE merger committment programs.</t>
    </r>
  </si>
  <si>
    <t>Figure A-2 - Program Year [2022] Portfolio-Level Lifetime Energy Savings – Primary vs Secondary Metrics</t>
  </si>
  <si>
    <r>
      <t>Appendix</t>
    </r>
    <r>
      <rPr>
        <b/>
        <sz val="14"/>
        <rFont val="Arial"/>
        <family val="2"/>
      </rPr>
      <t xml:space="preserve"> G</t>
    </r>
    <r>
      <rPr>
        <b/>
        <sz val="14"/>
        <color theme="1"/>
        <rFont val="Arial"/>
        <family val="2"/>
      </rPr>
      <t xml:space="preserve"> - Ex-ante Energy Savings held by Utility for Transfer</t>
    </r>
  </si>
  <si>
    <t xml:space="preserve">The following data are presented to provide Board Staff visibility into the full picture of statewide annual ex-ante energy projects in progress, with these energy savings being excluded from data presented in the body of the report.  These data are based upon coordinated program projects completed by a lead utility and awaiting transfer to a partner utility.  The data presented are estimates and are subject to change during transfer to and verification by partner utilities.  Transferred savings and associated costs will be included in partner utility results once allocated by the Statewide Coordination platform. </t>
  </si>
  <si>
    <t>Estimated Annual Energy Savings Held by ACE</t>
  </si>
  <si>
    <t>Program</t>
  </si>
  <si>
    <t>Kwh held for transfer</t>
  </si>
  <si>
    <t>Therms (DTHw) held for transfer</t>
  </si>
  <si>
    <r>
      <t>Res Efficient Products</t>
    </r>
    <r>
      <rPr>
        <vertAlign val="superscript"/>
        <sz val="11"/>
        <color theme="1"/>
        <rFont val="Times New Roman"/>
        <family val="1"/>
      </rPr>
      <t>1</t>
    </r>
  </si>
  <si>
    <t>Home Performance w/Energy Star</t>
  </si>
  <si>
    <r>
      <t xml:space="preserve">C&amp;I </t>
    </r>
    <r>
      <rPr>
        <sz val="11"/>
        <color rgb="FF000000"/>
        <rFont val="Times New Roman"/>
        <family val="1"/>
      </rPr>
      <t>Prescriptive/Custom</t>
    </r>
  </si>
  <si>
    <t>C&amp;I Small Business Direct Install</t>
  </si>
  <si>
    <r>
      <t xml:space="preserve">C&amp;I </t>
    </r>
    <r>
      <rPr>
        <sz val="11"/>
        <color rgb="FF000000"/>
        <rFont val="Times New Roman"/>
        <family val="1"/>
      </rPr>
      <t>Energy Management</t>
    </r>
  </si>
  <si>
    <r>
      <t xml:space="preserve">C&amp;I </t>
    </r>
    <r>
      <rPr>
        <sz val="11"/>
        <color rgb="FF000000"/>
        <rFont val="Times New Roman"/>
        <family val="1"/>
      </rPr>
      <t>Engineered Solutions</t>
    </r>
  </si>
  <si>
    <r>
      <t>TOTAL</t>
    </r>
    <r>
      <rPr>
        <b/>
        <vertAlign val="superscript"/>
        <sz val="11"/>
        <color theme="1"/>
        <rFont val="Times New Roman"/>
        <family val="1"/>
      </rPr>
      <t>2</t>
    </r>
  </si>
  <si>
    <r>
      <t>1</t>
    </r>
    <r>
      <rPr>
        <sz val="9"/>
        <color theme="1"/>
        <rFont val="Times New Roman"/>
        <family val="1"/>
      </rPr>
      <t xml:space="preserve">This number excludes the fuel penalty for lighting.                                                                                                                                                                                                            </t>
    </r>
    <r>
      <rPr>
        <vertAlign val="superscript"/>
        <sz val="9"/>
        <color theme="1"/>
        <rFont val="Times New Roman"/>
        <family val="1"/>
      </rPr>
      <t>2</t>
    </r>
    <r>
      <rPr>
        <sz val="9"/>
        <color theme="1"/>
        <rFont val="Times New Roman"/>
        <family val="1"/>
      </rPr>
      <t>With the fuel penalty considered the total number is -27,279.</t>
    </r>
  </si>
  <si>
    <t>Appendix H - Cost Effectiveness Test Details</t>
  </si>
  <si>
    <t>Business</t>
  </si>
  <si>
    <t xml:space="preserve">Other </t>
  </si>
  <si>
    <t>Total Portfolio</t>
  </si>
  <si>
    <t>Total Resource Cost Test (TRC)</t>
  </si>
  <si>
    <r>
      <t>Quarter Retail Savings</t>
    </r>
    <r>
      <rPr>
        <vertAlign val="superscript"/>
        <sz val="9"/>
        <color indexed="9"/>
        <rFont val="Calibri"/>
        <family val="2"/>
        <scheme val="minor"/>
      </rPr>
      <t>1</t>
    </r>
  </si>
  <si>
    <r>
      <t>YTD Retail Savings</t>
    </r>
    <r>
      <rPr>
        <vertAlign val="superscript"/>
        <sz val="9"/>
        <color indexed="9"/>
        <rFont val="Calibri"/>
        <family val="2"/>
        <scheme val="minor"/>
      </rPr>
      <t>2</t>
    </r>
  </si>
  <si>
    <r>
      <t>Quarter Whole Savings</t>
    </r>
    <r>
      <rPr>
        <vertAlign val="superscript"/>
        <sz val="9"/>
        <color indexed="9"/>
        <rFont val="Calibri"/>
        <family val="2"/>
        <scheme val="minor"/>
      </rPr>
      <t>3</t>
    </r>
  </si>
  <si>
    <r>
      <t>Energy Efficiency Baseline</t>
    </r>
    <r>
      <rPr>
        <vertAlign val="superscript"/>
        <sz val="9"/>
        <color indexed="9"/>
        <rFont val="Calibri"/>
        <family val="2"/>
        <scheme val="minor"/>
      </rPr>
      <t>4</t>
    </r>
  </si>
  <si>
    <t>Lost Revenue from Energy Savings (kWh)</t>
  </si>
  <si>
    <t>Lost Revenue fromPeak Demand Savings (kW)</t>
  </si>
  <si>
    <t>Lost Revenue from Gas Savings (Therms)</t>
  </si>
  <si>
    <t>Avoided Costs from Energy Savings (kWh)</t>
  </si>
  <si>
    <t>Avoided Costs from Demand Savings (kW)</t>
  </si>
  <si>
    <t>Avoided Costs from Gas Savings (Therms)</t>
  </si>
  <si>
    <t>Environmental Adder</t>
  </si>
  <si>
    <t>DRIPE</t>
  </si>
  <si>
    <t>Total Benefit = 1+2+3+4+5+6+7+8</t>
  </si>
  <si>
    <t>Administrative Costs</t>
  </si>
  <si>
    <t>Participant Incremental Costs</t>
  </si>
  <si>
    <t>Incentives</t>
  </si>
  <si>
    <t>Total Costs (9+10+11)</t>
  </si>
  <si>
    <t>Benefit Cost Ratio = (1+2+3+4+5+6+7+8)/(9+10+11)</t>
  </si>
  <si>
    <t>Particpant Cost Test (PCT)</t>
  </si>
  <si>
    <t>Lifetime Participant Benefits</t>
  </si>
  <si>
    <t>Lifetime Repayment Benefits</t>
  </si>
  <si>
    <t>Benefit Cost Ratio = (11+12+13)/9</t>
  </si>
  <si>
    <t>Program Administrator Cost Test (PAC)</t>
  </si>
  <si>
    <t>Benefit Cost ratio = (1+2+3+4+5+6+7+8)/(10+11+13)</t>
  </si>
  <si>
    <t>Ratepayer Impact Measure Test (RIM)</t>
  </si>
  <si>
    <t>Lifetime utility Revenue Gained</t>
  </si>
  <si>
    <t>Lifetime Utility Cost</t>
  </si>
  <si>
    <t>Benefit Cost ratio = (1+2+3+4+5+6+7+8+14)/(10+11+13+15)</t>
  </si>
  <si>
    <t>New Jersey Cost Test (NJCT)</t>
  </si>
  <si>
    <t>NEB Adder</t>
  </si>
  <si>
    <t>Lifetime Avoided Ancillary Services Costs</t>
  </si>
  <si>
    <t>Total Benefit = 16+17+18+19+20+21+22+23+24+25</t>
  </si>
  <si>
    <t>Total Costs = 26+27+28</t>
  </si>
  <si>
    <t>Benefit Cost Ratio = (16+17+18+19+20+21+22+23+24+25)/(26+27+28)</t>
  </si>
  <si>
    <t>CG Notes for Preparation of FY23 Q1 Report</t>
  </si>
  <si>
    <t>ACTION ITEMS/COMMENTS/RESOLUTIONS</t>
  </si>
  <si>
    <t>This file was derived from the Final Annual report submittal:   NJ EE Quarterly Report Table  PYXX QX-Final-V1</t>
  </si>
  <si>
    <t>1. ACE activitely insured that YTD graph was updated. Resolved.</t>
  </si>
  <si>
    <r>
      <t>From:</t>
    </r>
    <r>
      <rPr>
        <sz val="12"/>
        <color theme="1"/>
        <rFont val="Arial"/>
        <family val="2"/>
      </rPr>
      <t xml:space="preserve"> Chao, Philip [BPU] &lt;Philip.Chao@bpu.nj.gov&gt;</t>
    </r>
  </si>
  <si>
    <r>
      <t>Sent:</t>
    </r>
    <r>
      <rPr>
        <sz val="12"/>
        <color theme="1"/>
        <rFont val="Arial"/>
        <family val="2"/>
      </rPr>
      <t xml:space="preserve"> Wednesday, November 9, 2022 12:47 PM</t>
    </r>
  </si>
  <si>
    <t>YTD Performance Graph</t>
  </si>
  <si>
    <t>On the graph that shows % savings to goals and % expenditures to budget, the cell that references expenditure is pointing to the wrong cell.</t>
  </si>
  <si>
    <r>
      <t xml:space="preserve">The cell is getting expenditures that include both CEA program expenditures plus Comfort Partners (E31 for most templates), but it should point to the cell that only includes </t>
    </r>
    <r>
      <rPr>
        <b/>
        <sz val="14"/>
        <color rgb="FF1F497D"/>
        <rFont val="Arial"/>
        <family val="2"/>
      </rPr>
      <t>CEA program expenditures</t>
    </r>
    <r>
      <rPr>
        <sz val="12"/>
        <color rgb="FF1F497D"/>
        <rFont val="Arial"/>
        <family val="2"/>
      </rPr>
      <t xml:space="preserve"> (E29).  Could you please make this correction in your workbooks before you submit the Q1 PY2 quarterly report.</t>
    </r>
  </si>
  <si>
    <t xml:space="preserve">Proposed changes to Tables 1 and 2 for the PY2 Quarter 1 report.  </t>
  </si>
  <si>
    <r>
      <rPr>
        <b/>
        <sz val="14"/>
        <color rgb="FF1F497D"/>
        <rFont val="Arial"/>
        <family val="2"/>
      </rPr>
      <t xml:space="preserve">Table 1 </t>
    </r>
    <r>
      <rPr>
        <sz val="12"/>
        <color rgb="FF1F497D"/>
        <rFont val="Arial"/>
        <family val="2"/>
      </rPr>
      <t xml:space="preserve">currently shows YTD savings and target achievement.  </t>
    </r>
    <r>
      <rPr>
        <b/>
        <sz val="14"/>
        <color rgb="FF1F497D"/>
        <rFont val="Arial"/>
        <family val="2"/>
      </rPr>
      <t>The change is to insert a row that shows quarterly savings.</t>
    </r>
  </si>
  <si>
    <r>
      <rPr>
        <b/>
        <sz val="14"/>
        <color rgb="FF1F497D"/>
        <rFont val="Arial"/>
        <family val="2"/>
      </rPr>
      <t>Table 2</t>
    </r>
    <r>
      <rPr>
        <sz val="12"/>
        <color rgb="FF1F497D"/>
        <rFont val="Arial"/>
        <family val="2"/>
      </rPr>
      <t xml:space="preserve"> currently shows the QPIs on a YTD basis.  </t>
    </r>
    <r>
      <rPr>
        <b/>
        <sz val="14"/>
        <color rgb="FF1F497D"/>
        <rFont val="Arial"/>
        <family val="2"/>
      </rPr>
      <t>The proposal is to include quarterly values.</t>
    </r>
  </si>
  <si>
    <t>In addition, please remember that the latest report template, which was modified for the Annual Report includes extra tables and metrics.  These need to be removed for the Quarterly Reports:</t>
  </si>
  <si>
    <r>
      <t xml:space="preserve">1)      </t>
    </r>
    <r>
      <rPr>
        <b/>
        <sz val="12"/>
        <color rgb="FF1F497D"/>
        <rFont val="Arial"/>
        <family val="2"/>
      </rPr>
      <t>Remove the row for NPV</t>
    </r>
    <r>
      <rPr>
        <sz val="12"/>
        <color rgb="FF1F497D"/>
        <rFont val="Arial"/>
        <family val="2"/>
      </rPr>
      <t xml:space="preserve"> of Utility Cost Test from the QPI Table </t>
    </r>
  </si>
  <si>
    <r>
      <t xml:space="preserve">2)      </t>
    </r>
    <r>
      <rPr>
        <b/>
        <sz val="12"/>
        <color rgb="FF1F497D"/>
        <rFont val="Arial"/>
        <family val="2"/>
      </rPr>
      <t>Drop Table 8</t>
    </r>
    <r>
      <rPr>
        <sz val="12"/>
        <color rgb="FF1F497D"/>
        <rFont val="Arial"/>
        <family val="2"/>
      </rPr>
      <t xml:space="preserve"> on benefit-cost test.</t>
    </r>
  </si>
  <si>
    <r>
      <t xml:space="preserve">3)      </t>
    </r>
    <r>
      <rPr>
        <b/>
        <sz val="12"/>
        <color rgb="FF1F497D"/>
        <rFont val="Arial"/>
        <family val="2"/>
      </rPr>
      <t xml:space="preserve">Drop Appendices F, G, H, and I </t>
    </r>
    <r>
      <rPr>
        <sz val="12"/>
        <color rgb="FF1F497D"/>
        <rFont val="Arial"/>
        <family val="2"/>
      </rPr>
      <t xml:space="preserve"> (these tabs are light blue, as opposed to dark blue for all the other tables and appendices).</t>
    </r>
  </si>
  <si>
    <t>ACE Intenal Note:</t>
  </si>
  <si>
    <t>1) Supportive Cost Outside Portfolio = SWC and Workforce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</si>
</sst>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_(* #,##0.0_);_(* \(#,##0.0\);_(* &quot;-&quot;??_);_(@_)"/>
    <numFmt numFmtId="167" formatCode="_(&quot;$&quot;* #,##0.0_);_(&quot;$&quot;* \(#,##0.0\);_(&quot;$&quot;* &quot;-&quot;??_);_(@_)"/>
    <numFmt numFmtId="168" formatCode="0.0%"/>
    <numFmt numFmtId="169" formatCode="_(* #,##0.000000_);_(* \(#,##0.000000\);_(* &quot;-&quot;??_);_(@_)"/>
    <numFmt numFmtId="170" formatCode="_(* #,##0.000_);_(* \(#,##0.000\);_(* &quot;-&quot;??_);_(@_)"/>
    <numFmt numFmtId="171" formatCode="0.000%"/>
    <numFmt numFmtId="172" formatCode="0.000"/>
    <numFmt numFmtId="173" formatCode="0.0"/>
    <numFmt numFmtId="174" formatCode="#,##0.000_);\(#,##0.000\)"/>
    <numFmt numFmtId="175" formatCode="_(* #,##0.000_);_(* \(#,##0.000\);_(* &quot;-&quot;???_);_(@_)"/>
  </numFmts>
  <fonts count="74" x14ac:knownFonts="1">
    <font>
      <sz val="11"/>
      <color theme="1"/>
      <name val="Calibri"/>
      <family val="2"/>
      <scheme val="minor"/>
    </font>
    <font>
      <sz val="10"/>
      <name val="Arial"/>
      <family val="2"/>
    </font>
    <font>
      <sz val="11"/>
      <color rgb="FFFF0000"/>
      <name val="Calibri"/>
      <family val="2"/>
      <scheme val="minor"/>
    </font>
    <font>
      <b/>
      <sz val="11"/>
      <color theme="1"/>
      <name val="Calibri"/>
      <family val="2"/>
      <scheme val="minor"/>
    </font>
    <font>
      <b/>
      <sz val="18"/>
      <color theme="1"/>
      <name val="Calibri"/>
      <family val="2"/>
      <scheme val="minor"/>
    </font>
    <font>
      <b/>
      <sz val="14"/>
      <color theme="1"/>
      <name val="Calibri"/>
      <family val="2"/>
      <scheme val="minor"/>
    </font>
    <font>
      <b/>
      <sz val="9"/>
      <color indexed="9"/>
      <name val="Calibri"/>
      <family val="2"/>
      <scheme val="minor"/>
    </font>
    <font>
      <b/>
      <sz val="9"/>
      <color indexed="9"/>
      <name val="Calibri"/>
      <family val="2"/>
    </font>
    <font>
      <sz val="9"/>
      <color indexed="9"/>
      <name val="Calibri"/>
      <family val="2"/>
      <scheme val="minor"/>
    </font>
    <font>
      <b/>
      <sz val="11"/>
      <name val="Calibri"/>
      <family val="2"/>
      <scheme val="minor"/>
    </font>
    <font>
      <vertAlign val="superscript"/>
      <sz val="9"/>
      <color rgb="FFFFFFFF"/>
      <name val="Calibri"/>
      <family val="2"/>
      <scheme val="minor"/>
    </font>
    <font>
      <sz val="11"/>
      <name val="Calibri"/>
      <family val="2"/>
      <scheme val="minor"/>
    </font>
    <font>
      <vertAlign val="superscript"/>
      <sz val="11"/>
      <name val="Calibri"/>
      <family val="2"/>
      <scheme val="minor"/>
    </font>
    <font>
      <b/>
      <vertAlign val="superscript"/>
      <sz val="11"/>
      <color theme="1"/>
      <name val="Calibri"/>
      <family val="2"/>
      <scheme val="minor"/>
    </font>
    <font>
      <sz val="11"/>
      <color rgb="FF000000"/>
      <name val="Calibri"/>
      <family val="2"/>
    </font>
    <font>
      <vertAlign val="superscript"/>
      <sz val="11"/>
      <color theme="1"/>
      <name val="Calibri"/>
      <family val="2"/>
      <scheme val="minor"/>
    </font>
    <font>
      <sz val="11"/>
      <color rgb="FF006100"/>
      <name val="Calibri"/>
      <family val="2"/>
      <scheme val="minor"/>
    </font>
    <font>
      <sz val="11"/>
      <color rgb="FF000000"/>
      <name val="Calibri"/>
      <family val="2"/>
      <scheme val="minor"/>
    </font>
    <font>
      <sz val="10"/>
      <color theme="1"/>
      <name val="Times New Roman"/>
      <family val="1"/>
    </font>
    <font>
      <b/>
      <sz val="12"/>
      <color theme="1"/>
      <name val="Times New Roman"/>
      <family val="1"/>
    </font>
    <font>
      <sz val="11"/>
      <color rgb="FF9C0006"/>
      <name val="Calibri"/>
      <family val="2"/>
      <scheme val="minor"/>
    </font>
    <font>
      <sz val="11"/>
      <color theme="1"/>
      <name val="Times New Roman"/>
      <family val="1"/>
    </font>
    <font>
      <sz val="11"/>
      <color rgb="FF000000"/>
      <name val="Times New Roman"/>
      <family val="1"/>
    </font>
    <font>
      <vertAlign val="superscript"/>
      <sz val="9"/>
      <color indexed="9"/>
      <name val="Calibri"/>
      <family val="2"/>
      <scheme val="minor"/>
    </font>
    <font>
      <sz val="9"/>
      <color theme="0"/>
      <name val="Calibri"/>
      <family val="2"/>
      <scheme val="minor"/>
    </font>
    <font>
      <sz val="11"/>
      <color rgb="FF996633"/>
      <name val="Calibri"/>
      <family val="2"/>
    </font>
    <font>
      <sz val="11"/>
      <color theme="0"/>
      <name val="Calibri"/>
      <family val="2"/>
      <scheme val="minor"/>
    </font>
    <font>
      <sz val="11"/>
      <name val="Arial Black"/>
      <family val="2"/>
    </font>
    <font>
      <b/>
      <sz val="12"/>
      <color indexed="9"/>
      <name val="Times New Roman"/>
      <family val="1"/>
    </font>
    <font>
      <sz val="12"/>
      <color theme="1"/>
      <name val="Times New Roman"/>
      <family val="1"/>
    </font>
    <font>
      <sz val="12"/>
      <color rgb="FF000000"/>
      <name val="Times New Roman"/>
      <family val="1"/>
    </font>
    <font>
      <sz val="11"/>
      <color theme="1"/>
      <name val="Arial"/>
      <family val="2"/>
    </font>
    <font>
      <b/>
      <sz val="14"/>
      <color theme="1"/>
      <name val="Arial"/>
      <family val="2"/>
    </font>
    <font>
      <sz val="11"/>
      <color rgb="FFFFFF00"/>
      <name val="Arial"/>
      <family val="2"/>
    </font>
    <font>
      <b/>
      <sz val="11"/>
      <color rgb="FF000000"/>
      <name val="Calibri"/>
      <family val="2"/>
    </font>
    <font>
      <sz val="11"/>
      <color rgb="FF444444"/>
      <name val="Calibri"/>
      <family val="2"/>
    </font>
    <font>
      <b/>
      <sz val="11"/>
      <color rgb="FF000000"/>
      <name val="Calibri"/>
      <family val="2"/>
      <scheme val="minor"/>
    </font>
    <font>
      <b/>
      <sz val="11"/>
      <color theme="1"/>
      <name val="Times New Roman"/>
      <family val="1"/>
    </font>
    <font>
      <vertAlign val="superscript"/>
      <sz val="11"/>
      <color theme="1"/>
      <name val="Times New Roman"/>
      <family val="1"/>
    </font>
    <font>
      <sz val="10"/>
      <color indexed="9"/>
      <name val="Times New Roman"/>
      <family val="1"/>
    </font>
    <font>
      <vertAlign val="superscript"/>
      <sz val="10"/>
      <name val="Times New Roman"/>
      <family val="1"/>
    </font>
    <font>
      <b/>
      <sz val="11"/>
      <color indexed="9"/>
      <name val="Times New Roman"/>
      <family val="1"/>
    </font>
    <font>
      <sz val="11"/>
      <color indexed="9"/>
      <name val="Times New Roman"/>
      <family val="1"/>
    </font>
    <font>
      <b/>
      <sz val="11"/>
      <name val="Times New Roman"/>
      <family val="1"/>
    </font>
    <font>
      <sz val="11"/>
      <name val="Times New Roman"/>
      <family val="1"/>
    </font>
    <font>
      <b/>
      <sz val="11"/>
      <color theme="0"/>
      <name val="Times New Roman"/>
      <family val="1"/>
    </font>
    <font>
      <sz val="11"/>
      <color rgb="FF7030A0"/>
      <name val="Calibri"/>
      <family val="2"/>
      <scheme val="minor"/>
    </font>
    <font>
      <sz val="11"/>
      <color theme="1"/>
      <name val="Calibri"/>
      <family val="2"/>
    </font>
    <font>
      <b/>
      <vertAlign val="superscript"/>
      <sz val="11"/>
      <color theme="1"/>
      <name val="Times New Roman"/>
      <family val="1"/>
    </font>
    <font>
      <vertAlign val="superscript"/>
      <sz val="9"/>
      <color theme="1"/>
      <name val="Times New Roman"/>
      <family val="1"/>
    </font>
    <font>
      <sz val="9"/>
      <color theme="1"/>
      <name val="Times New Roman"/>
      <family val="1"/>
    </font>
    <font>
      <sz val="9"/>
      <color rgb="FFFF0000"/>
      <name val="Times New Roman"/>
      <family val="1"/>
    </font>
    <font>
      <sz val="11"/>
      <name val="Arial"/>
      <family val="2"/>
    </font>
    <font>
      <b/>
      <sz val="14"/>
      <name val="Arial"/>
      <family val="2"/>
    </font>
    <font>
      <b/>
      <vertAlign val="superscript"/>
      <sz val="12"/>
      <color indexed="9"/>
      <name val="Times New Roman"/>
      <family val="1"/>
    </font>
    <font>
      <b/>
      <vertAlign val="superscript"/>
      <sz val="12"/>
      <color rgb="FFFFFFFF"/>
      <name val="Times New Roman"/>
      <family val="1"/>
    </font>
    <font>
      <vertAlign val="superscript"/>
      <sz val="12"/>
      <color indexed="9"/>
      <name val="Times New Roman"/>
      <family val="1"/>
    </font>
    <font>
      <vertAlign val="superscript"/>
      <sz val="12"/>
      <color rgb="FFFFFFFF"/>
      <name val="Times New Roman"/>
      <family val="1"/>
    </font>
    <font>
      <sz val="12"/>
      <color indexed="9"/>
      <name val="Times New Roman"/>
      <family val="1"/>
    </font>
    <font>
      <sz val="9"/>
      <color theme="1"/>
      <name val="Arial"/>
      <family val="2"/>
    </font>
    <font>
      <b/>
      <sz val="12"/>
      <color theme="1"/>
      <name val="Calibri"/>
      <family val="2"/>
      <scheme val="minor"/>
    </font>
    <font>
      <sz val="11"/>
      <name val="Calibri"/>
      <family val="2"/>
    </font>
    <font>
      <u/>
      <sz val="11"/>
      <color theme="10"/>
      <name val="Calibri"/>
      <family val="2"/>
      <scheme val="minor"/>
    </font>
    <font>
      <vertAlign val="superscript"/>
      <sz val="11"/>
      <name val="Times New Roman"/>
      <family val="1"/>
    </font>
    <font>
      <b/>
      <sz val="18"/>
      <color theme="1"/>
      <name val="Times New Roman"/>
      <family val="1"/>
    </font>
    <font>
      <sz val="9"/>
      <color theme="1"/>
      <name val="Segoe UI"/>
      <family val="2"/>
    </font>
    <font>
      <sz val="12"/>
      <color theme="1"/>
      <name val="Calibri"/>
      <family val="2"/>
      <scheme val="minor"/>
    </font>
    <font>
      <b/>
      <sz val="12"/>
      <color theme="1"/>
      <name val="Arial"/>
      <family val="2"/>
    </font>
    <font>
      <sz val="12"/>
      <color theme="1"/>
      <name val="Arial"/>
      <family val="2"/>
    </font>
    <font>
      <sz val="10"/>
      <name val="Tahoma"/>
      <family val="2"/>
    </font>
    <font>
      <sz val="12"/>
      <color rgb="FF1F497D"/>
      <name val="Arial"/>
      <family val="2"/>
    </font>
    <font>
      <b/>
      <sz val="14"/>
      <color rgb="FF1F497D"/>
      <name val="Arial"/>
      <family val="2"/>
    </font>
    <font>
      <b/>
      <sz val="12"/>
      <color rgb="FF1F497D"/>
      <name val="Arial"/>
      <family val="2"/>
    </font>
    <font>
      <sz val="11"/>
      <color theme="1"/>
      <name val="Calibri"/>
      <family val="2"/>
      <scheme val="minor"/>
    </font>
  </fonts>
  <fills count="22">
    <fill>
      <patternFill patternType="none"/>
    </fill>
    <fill>
      <patternFill patternType="gray125"/>
    </fill>
    <fill>
      <patternFill patternType="solid">
        <fgColor rgb="FFC6EFCE"/>
        <bgColor indexed="64"/>
      </patternFill>
    </fill>
    <fill>
      <patternFill patternType="solid">
        <fgColor rgb="FFFFC7CE"/>
        <bgColor indexed="64"/>
      </patternFill>
    </fill>
    <fill>
      <patternFill patternType="solid">
        <fgColor rgb="FF1F497D"/>
        <bgColor indexed="64"/>
      </patternFill>
    </fill>
    <fill>
      <patternFill patternType="solid">
        <fgColor rgb="FFBFBFBF"/>
        <bgColor indexed="64"/>
      </patternFill>
    </fill>
    <fill>
      <patternFill patternType="solid">
        <fgColor theme="0"/>
        <bgColor indexed="64"/>
      </patternFill>
    </fill>
    <fill>
      <patternFill patternType="solid">
        <fgColor theme="3" tint="0.39997558519241921"/>
        <bgColor indexed="64"/>
      </patternFill>
    </fill>
    <fill>
      <patternFill patternType="solid">
        <fgColor theme="2" tint="-9.9948118533890809E-2"/>
        <bgColor indexed="64"/>
      </patternFill>
    </fill>
    <fill>
      <patternFill patternType="solid">
        <fgColor theme="0" tint="-0.14996795556505021"/>
        <bgColor indexed="64"/>
      </patternFill>
    </fill>
    <fill>
      <patternFill patternType="solid">
        <fgColor rgb="FFFFFF00"/>
        <bgColor indexed="64"/>
      </patternFill>
    </fill>
    <fill>
      <patternFill patternType="solid">
        <fgColor theme="1"/>
        <bgColor indexed="64"/>
      </patternFill>
    </fill>
    <fill>
      <patternFill patternType="solid">
        <fgColor theme="5"/>
        <bgColor indexed="64"/>
      </patternFill>
    </fill>
    <fill>
      <patternFill patternType="solid">
        <fgColor theme="3"/>
        <bgColor indexed="64"/>
      </patternFill>
    </fill>
    <fill>
      <patternFill patternType="solid">
        <fgColor theme="3" tint="0.59996337778862885"/>
        <bgColor indexed="64"/>
      </patternFill>
    </fill>
    <fill>
      <patternFill patternType="solid">
        <fgColor theme="7" tint="0.39997558519241921"/>
        <bgColor indexed="64"/>
      </patternFill>
    </fill>
    <fill>
      <patternFill patternType="solid">
        <fgColor rgb="FFD9D9D9"/>
        <bgColor indexed="64"/>
      </patternFill>
    </fill>
    <fill>
      <patternFill patternType="solid">
        <fgColor theme="0" tint="-0.34995574816125979"/>
        <bgColor indexed="64"/>
      </patternFill>
    </fill>
    <fill>
      <patternFill patternType="solid">
        <fgColor theme="4" tint="-0.24994659260841701"/>
        <bgColor indexed="64"/>
      </patternFill>
    </fill>
    <fill>
      <patternFill patternType="solid">
        <fgColor theme="4" tint="0.79995117038483843"/>
        <bgColor indexed="64"/>
      </patternFill>
    </fill>
    <fill>
      <patternFill patternType="solid">
        <fgColor rgb="FFFFF2CC"/>
        <bgColor indexed="64"/>
      </patternFill>
    </fill>
    <fill>
      <patternFill patternType="solid">
        <fgColor theme="0" tint="-0.24994659260841701"/>
        <bgColor indexed="64"/>
      </patternFill>
    </fill>
  </fills>
  <borders count="86">
    <border>
      <left/>
      <right/>
      <top/>
      <bottom/>
      <diagonal/>
    </border>
    <border>
      <left/>
      <right style="medium">
        <color auto="1"/>
      </right>
      <top style="medium">
        <color auto="1"/>
      </top>
      <bottom/>
      <diagonal/>
    </border>
    <border>
      <left style="medium">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thin">
        <color auto="1"/>
      </top>
      <bottom style="thin">
        <color auto="1"/>
      </bottom>
      <diagonal/>
    </border>
    <border>
      <left/>
      <right style="thin">
        <color auto="1"/>
      </right>
      <top/>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bottom style="thin">
        <color auto="1"/>
      </bottom>
      <diagonal/>
    </border>
    <border>
      <left/>
      <right style="thin">
        <color auto="1"/>
      </right>
      <top style="thin">
        <color auto="1"/>
      </top>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right style="thin">
        <color auto="1"/>
      </right>
      <top style="medium">
        <color auto="1"/>
      </top>
      <bottom style="thin">
        <color auto="1"/>
      </bottom>
      <diagonal/>
    </border>
    <border>
      <left/>
      <right/>
      <top style="medium">
        <color auto="1"/>
      </top>
      <bottom/>
      <diagonal/>
    </border>
    <border>
      <left/>
      <right/>
      <top/>
      <bottom style="medium">
        <color auto="1"/>
      </bottom>
      <diagonal/>
    </border>
    <border>
      <left style="medium">
        <color auto="1"/>
      </left>
      <right style="thin">
        <color auto="1"/>
      </right>
      <top style="medium">
        <color auto="1"/>
      </top>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thin">
        <color auto="1"/>
      </bottom>
      <diagonal/>
    </border>
    <border>
      <left style="medium">
        <color auto="1"/>
      </left>
      <right/>
      <top style="medium">
        <color auto="1"/>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thin">
        <color auto="1"/>
      </top>
      <bottom/>
      <diagonal/>
    </border>
    <border>
      <left style="thin">
        <color auto="1"/>
      </left>
      <right style="thin">
        <color auto="1"/>
      </right>
      <top style="medium">
        <color auto="1"/>
      </top>
      <bottom/>
      <diagonal/>
    </border>
    <border>
      <left style="medium">
        <color auto="1"/>
      </left>
      <right/>
      <top style="medium">
        <color auto="1"/>
      </top>
      <bottom style="thin">
        <color auto="1"/>
      </bottom>
      <diagonal/>
    </border>
    <border>
      <left style="medium">
        <color auto="1"/>
      </left>
      <right/>
      <top style="thin">
        <color auto="1"/>
      </top>
      <bottom style="medium">
        <color auto="1"/>
      </bottom>
      <diagonal/>
    </border>
    <border>
      <left style="medium">
        <color auto="1"/>
      </left>
      <right/>
      <top/>
      <bottom/>
      <diagonal/>
    </border>
    <border>
      <left/>
      <right style="thin">
        <color auto="1"/>
      </right>
      <top style="medium">
        <color auto="1"/>
      </top>
      <bottom/>
      <diagonal/>
    </border>
    <border>
      <left style="thin">
        <color auto="1"/>
      </left>
      <right style="thin">
        <color auto="1"/>
      </right>
      <top/>
      <bottom style="medium">
        <color auto="1"/>
      </bottom>
      <diagonal/>
    </border>
    <border>
      <left style="medium">
        <color auto="1"/>
      </left>
      <right/>
      <top/>
      <bottom style="thin">
        <color auto="1"/>
      </bottom>
      <diagonal/>
    </border>
    <border>
      <left/>
      <right style="medium">
        <color auto="1"/>
      </right>
      <top style="thin">
        <color auto="1"/>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right style="medium">
        <color auto="1"/>
      </right>
      <top/>
      <bottom style="thin">
        <color auto="1"/>
      </bottom>
      <diagonal/>
    </border>
    <border>
      <left style="medium">
        <color auto="1"/>
      </left>
      <right style="thin">
        <color auto="1"/>
      </right>
      <top/>
      <bottom style="medium">
        <color auto="1"/>
      </bottom>
      <diagonal/>
    </border>
    <border>
      <left style="medium">
        <color auto="1"/>
      </left>
      <right style="medium">
        <color auto="1"/>
      </right>
      <top/>
      <bottom/>
      <diagonal/>
    </border>
    <border>
      <left style="thin">
        <color auto="1"/>
      </left>
      <right style="thin">
        <color auto="1"/>
      </right>
      <top style="medium">
        <color auto="1"/>
      </top>
      <bottom style="medium">
        <color auto="1"/>
      </bottom>
      <diagonal/>
    </border>
    <border>
      <left/>
      <right style="medium">
        <color auto="1"/>
      </right>
      <top style="medium">
        <color auto="1"/>
      </top>
      <bottom style="medium">
        <color auto="1"/>
      </bottom>
      <diagonal/>
    </border>
    <border>
      <left/>
      <right style="thin">
        <color auto="1"/>
      </right>
      <top/>
      <bottom style="medium">
        <color auto="1"/>
      </bottom>
      <diagonal/>
    </border>
    <border>
      <left/>
      <right/>
      <top style="medium">
        <color auto="1"/>
      </top>
      <bottom style="thin">
        <color auto="1"/>
      </bottom>
      <diagonal/>
    </border>
    <border>
      <left/>
      <right/>
      <top style="thin">
        <color auto="1"/>
      </top>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style="medium">
        <color auto="1"/>
      </left>
      <right style="medium">
        <color auto="1"/>
      </right>
      <top/>
      <bottom style="thin">
        <color auto="1"/>
      </bottom>
      <diagonal/>
    </border>
    <border>
      <left/>
      <right style="medium">
        <color auto="1"/>
      </right>
      <top/>
      <bottom style="medium">
        <color auto="1"/>
      </bottom>
      <diagonal/>
    </border>
    <border>
      <left style="thin">
        <color auto="1"/>
      </left>
      <right/>
      <top/>
      <bottom/>
      <diagonal/>
    </border>
    <border>
      <left/>
      <right style="medium">
        <color auto="1"/>
      </right>
      <top/>
      <bottom/>
      <diagonal/>
    </border>
    <border>
      <left style="medium">
        <color auto="1"/>
      </left>
      <right style="medium">
        <color auto="1"/>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style="thin">
        <color auto="1"/>
      </top>
      <bottom/>
      <diagonal/>
    </border>
    <border>
      <left/>
      <right style="thin">
        <color auto="1"/>
      </right>
      <top style="medium">
        <color auto="1"/>
      </top>
      <bottom style="medium">
        <color auto="1"/>
      </bottom>
      <diagonal/>
    </border>
    <border>
      <left/>
      <right/>
      <top/>
      <bottom style="thin">
        <color auto="1"/>
      </bottom>
      <diagonal/>
    </border>
    <border>
      <left/>
      <right/>
      <top style="thin">
        <color auto="1"/>
      </top>
      <bottom style="medium">
        <color auto="1"/>
      </bottom>
      <diagonal/>
    </border>
    <border>
      <left style="medium">
        <color rgb="FF000000"/>
      </left>
      <right/>
      <top style="medium">
        <color auto="1"/>
      </top>
      <bottom style="medium">
        <color rgb="FF000000"/>
      </bottom>
      <diagonal/>
    </border>
    <border>
      <left style="thin">
        <color auto="1"/>
      </left>
      <right style="medium">
        <color rgb="FF000000"/>
      </right>
      <top style="medium">
        <color auto="1"/>
      </top>
      <bottom style="medium">
        <color rgb="FF000000"/>
      </bottom>
      <diagonal/>
    </border>
    <border>
      <left style="medium">
        <color rgb="FF000000"/>
      </left>
      <right style="medium">
        <color rgb="FF000000"/>
      </right>
      <top style="medium">
        <color rgb="FF000000"/>
      </top>
      <bottom style="medium">
        <color rgb="FF000000"/>
      </bottom>
      <diagonal/>
    </border>
    <border>
      <left/>
      <right/>
      <top style="medium">
        <color auto="1"/>
      </top>
      <bottom style="medium">
        <color auto="1"/>
      </bottom>
      <diagonal/>
    </border>
    <border>
      <left style="medium">
        <color rgb="FF000000"/>
      </left>
      <right/>
      <top style="medium">
        <color rgb="FF000000"/>
      </top>
      <bottom style="medium">
        <color auto="1"/>
      </bottom>
      <diagonal/>
    </border>
    <border>
      <left/>
      <right style="medium">
        <color rgb="FF000000"/>
      </right>
      <top style="medium">
        <color rgb="FF000000"/>
      </top>
      <bottom style="medium">
        <color auto="1"/>
      </bottom>
      <diagonal/>
    </border>
  </borders>
  <cellStyleXfs count="15">
    <xf numFmtId="0" fontId="0" fillId="0" borderId="0"/>
    <xf numFmtId="9" fontId="73" fillId="0" borderId="0" applyFont="0" applyFill="0" applyBorder="0" applyAlignment="0" applyProtection="0"/>
    <xf numFmtId="44" fontId="73" fillId="0" borderId="0" applyFont="0" applyFill="0" applyBorder="0" applyAlignment="0" applyProtection="0"/>
    <xf numFmtId="42" fontId="1" fillId="0" borderId="0" applyFont="0" applyFill="0" applyBorder="0" applyAlignment="0" applyProtection="0"/>
    <xf numFmtId="43" fontId="73" fillId="0" borderId="0" applyFont="0" applyFill="0" applyBorder="0" applyAlignment="0" applyProtection="0"/>
    <xf numFmtId="41" fontId="1" fillId="0" borderId="0" applyFont="0" applyFill="0" applyBorder="0" applyAlignment="0" applyProtection="0"/>
    <xf numFmtId="0" fontId="1" fillId="0" borderId="0"/>
    <xf numFmtId="0" fontId="16" fillId="2" borderId="0" applyNumberFormat="0" applyBorder="0" applyAlignment="0" applyProtection="0"/>
    <xf numFmtId="0" fontId="20" fillId="3" borderId="0" applyNumberFormat="0" applyBorder="0" applyAlignment="0" applyProtection="0"/>
    <xf numFmtId="0" fontId="27" fillId="0" borderId="0"/>
    <xf numFmtId="0" fontId="31" fillId="0" borderId="0"/>
    <xf numFmtId="0" fontId="62" fillId="0" borderId="0" applyNumberFormat="0" applyFill="0" applyBorder="0" applyAlignment="0" applyProtection="0"/>
    <xf numFmtId="0" fontId="66" fillId="0" borderId="0"/>
    <xf numFmtId="0" fontId="31" fillId="0" borderId="0"/>
    <xf numFmtId="0" fontId="69" fillId="0" borderId="0"/>
  </cellStyleXfs>
  <cellXfs count="1010">
    <xf numFmtId="0" fontId="0" fillId="0" borderId="0" xfId="0"/>
    <xf numFmtId="0" fontId="4" fillId="0" borderId="0" xfId="0" applyFont="1"/>
    <xf numFmtId="164" fontId="0" fillId="0" borderId="0" xfId="4" applyNumberFormat="1" applyFont="1"/>
    <xf numFmtId="43" fontId="0" fillId="0" borderId="0" xfId="4" applyFont="1"/>
    <xf numFmtId="9" fontId="0" fillId="0" borderId="0" xfId="1" applyFont="1"/>
    <xf numFmtId="165" fontId="0" fillId="0" borderId="0" xfId="2" applyNumberFormat="1" applyFont="1"/>
    <xf numFmtId="0" fontId="5" fillId="0" borderId="0" xfId="0" applyFont="1"/>
    <xf numFmtId="43" fontId="6" fillId="4" borderId="1" xfId="4" applyFont="1" applyFill="1" applyBorder="1" applyAlignment="1">
      <alignment horizontal="center" vertical="center" wrapText="1"/>
    </xf>
    <xf numFmtId="0" fontId="7"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5" xfId="0" applyFont="1" applyFill="1" applyBorder="1" applyAlignment="1">
      <alignment horizontal="center" vertical="center" wrapText="1"/>
    </xf>
    <xf numFmtId="164" fontId="8" fillId="4" borderId="6" xfId="4" applyNumberFormat="1" applyFont="1" applyFill="1" applyBorder="1" applyAlignment="1">
      <alignment horizontal="center" vertical="center" wrapText="1"/>
    </xf>
    <xf numFmtId="9" fontId="8" fillId="4" borderId="7" xfId="1" applyFont="1" applyFill="1" applyBorder="1" applyAlignment="1">
      <alignment horizontal="center" vertical="center" wrapText="1"/>
    </xf>
    <xf numFmtId="44" fontId="8" fillId="4" borderId="5" xfId="2" applyFont="1" applyFill="1" applyBorder="1" applyAlignment="1">
      <alignment horizontal="center" vertical="center" wrapText="1"/>
    </xf>
    <xf numFmtId="164" fontId="8" fillId="4" borderId="7" xfId="4" applyNumberFormat="1" applyFont="1" applyFill="1" applyBorder="1" applyAlignment="1">
      <alignment horizontal="center" vertical="center" wrapText="1"/>
    </xf>
    <xf numFmtId="166" fontId="8" fillId="4" borderId="8" xfId="4" applyNumberFormat="1" applyFont="1" applyFill="1" applyBorder="1" applyAlignment="1">
      <alignment horizontal="center" vertical="center" wrapText="1"/>
    </xf>
    <xf numFmtId="43" fontId="8" fillId="4" borderId="9" xfId="4" applyFont="1" applyFill="1" applyBorder="1" applyAlignment="1">
      <alignment horizontal="center" vertical="center" wrapText="1"/>
    </xf>
    <xf numFmtId="0" fontId="3" fillId="5" borderId="10" xfId="0" applyFont="1" applyFill="1" applyBorder="1"/>
    <xf numFmtId="0" fontId="3" fillId="5" borderId="11" xfId="0" applyFont="1" applyFill="1" applyBorder="1"/>
    <xf numFmtId="164" fontId="3" fillId="5" borderId="11" xfId="4" applyNumberFormat="1" applyFont="1" applyFill="1" applyBorder="1" applyAlignment="1"/>
    <xf numFmtId="9" fontId="3" fillId="5" borderId="11" xfId="1" applyFont="1" applyFill="1" applyBorder="1" applyAlignment="1"/>
    <xf numFmtId="165" fontId="3" fillId="5" borderId="11" xfId="2" applyNumberFormat="1" applyFont="1" applyFill="1" applyBorder="1" applyAlignment="1"/>
    <xf numFmtId="44" fontId="3" fillId="5" borderId="11" xfId="2" applyFont="1" applyFill="1" applyBorder="1" applyAlignment="1"/>
    <xf numFmtId="166" fontId="3" fillId="5" borderId="11" xfId="4" applyNumberFormat="1" applyFont="1" applyFill="1" applyBorder="1" applyAlignment="1"/>
    <xf numFmtId="43" fontId="3" fillId="5" borderId="12" xfId="4" applyFont="1" applyFill="1" applyBorder="1" applyAlignment="1"/>
    <xf numFmtId="37" fontId="0" fillId="0" borderId="13" xfId="4" applyNumberFormat="1" applyFont="1" applyFill="1" applyBorder="1" applyAlignment="1">
      <alignment horizontal="right"/>
    </xf>
    <xf numFmtId="43" fontId="0" fillId="0" borderId="13" xfId="4" applyFont="1" applyFill="1" applyBorder="1"/>
    <xf numFmtId="164" fontId="0" fillId="0" borderId="13" xfId="4" applyNumberFormat="1" applyFont="1" applyFill="1" applyBorder="1"/>
    <xf numFmtId="9" fontId="0" fillId="0" borderId="13" xfId="1" applyFont="1" applyFill="1" applyBorder="1"/>
    <xf numFmtId="165" fontId="0" fillId="0" borderId="13" xfId="2" applyNumberFormat="1" applyFont="1" applyFill="1" applyBorder="1"/>
    <xf numFmtId="44" fontId="0" fillId="0" borderId="13" xfId="2" applyFont="1" applyFill="1" applyBorder="1" applyAlignment="1">
      <alignment horizontal="right" vertical="top"/>
    </xf>
    <xf numFmtId="166" fontId="0" fillId="0" borderId="13" xfId="4" applyNumberFormat="1" applyFont="1" applyFill="1" applyBorder="1" applyAlignment="1">
      <alignment horizontal="right"/>
    </xf>
    <xf numFmtId="43" fontId="0" fillId="0" borderId="14" xfId="4" applyFont="1" applyFill="1" applyBorder="1"/>
    <xf numFmtId="164" fontId="0" fillId="0" borderId="15" xfId="4" applyNumberFormat="1" applyFont="1" applyFill="1" applyBorder="1"/>
    <xf numFmtId="164" fontId="0" fillId="0" borderId="15" xfId="4" applyNumberFormat="1" applyFont="1" applyFill="1" applyBorder="1" applyAlignment="1">
      <alignment horizontal="right"/>
    </xf>
    <xf numFmtId="165" fontId="0" fillId="0" borderId="15" xfId="2" applyNumberFormat="1" applyFont="1" applyFill="1" applyBorder="1"/>
    <xf numFmtId="44" fontId="0" fillId="0" borderId="15" xfId="2" applyFont="1" applyFill="1" applyBorder="1" applyAlignment="1">
      <alignment horizontal="right" vertical="top"/>
    </xf>
    <xf numFmtId="43" fontId="0" fillId="0" borderId="16" xfId="4" applyFont="1" applyFill="1" applyBorder="1" applyAlignment="1">
      <alignment horizontal="right"/>
    </xf>
    <xf numFmtId="44" fontId="0" fillId="0" borderId="15" xfId="2" applyFont="1" applyFill="1" applyBorder="1" applyAlignment="1">
      <alignment horizontal="right"/>
    </xf>
    <xf numFmtId="43" fontId="0" fillId="0" borderId="15" xfId="4" applyFont="1" applyFill="1" applyBorder="1" applyAlignment="1">
      <alignment horizontal="right"/>
    </xf>
    <xf numFmtId="43" fontId="0" fillId="0" borderId="15" xfId="4" applyFont="1" applyFill="1" applyBorder="1"/>
    <xf numFmtId="164" fontId="0" fillId="0" borderId="5" xfId="4" applyNumberFormat="1" applyFont="1" applyFill="1" applyBorder="1"/>
    <xf numFmtId="164" fontId="0" fillId="0" borderId="5" xfId="4" applyNumberFormat="1" applyFont="1" applyFill="1" applyBorder="1" applyAlignment="1">
      <alignment horizontal="right"/>
    </xf>
    <xf numFmtId="165" fontId="0" fillId="0" borderId="5" xfId="2" applyNumberFormat="1" applyFont="1" applyFill="1" applyBorder="1"/>
    <xf numFmtId="44" fontId="0" fillId="0" borderId="5" xfId="2" applyFont="1" applyFill="1" applyBorder="1" applyAlignment="1">
      <alignment horizontal="right" vertical="top"/>
    </xf>
    <xf numFmtId="166" fontId="0" fillId="0" borderId="5" xfId="4" applyNumberFormat="1" applyFont="1" applyFill="1" applyBorder="1" applyAlignment="1">
      <alignment horizontal="right"/>
    </xf>
    <xf numFmtId="43" fontId="0" fillId="0" borderId="6" xfId="4" applyFont="1" applyFill="1" applyBorder="1" applyAlignment="1">
      <alignment horizontal="right"/>
    </xf>
    <xf numFmtId="164" fontId="0" fillId="0" borderId="13" xfId="4" applyNumberFormat="1" applyFont="1" applyFill="1" applyBorder="1" applyAlignment="1">
      <alignment horizontal="right"/>
    </xf>
    <xf numFmtId="44" fontId="0" fillId="0" borderId="13" xfId="2" applyFont="1" applyFill="1" applyBorder="1" applyAlignment="1">
      <alignment horizontal="right"/>
    </xf>
    <xf numFmtId="43" fontId="0" fillId="0" borderId="13" xfId="4" applyFont="1" applyFill="1" applyBorder="1" applyAlignment="1">
      <alignment horizontal="right"/>
    </xf>
    <xf numFmtId="43" fontId="0" fillId="0" borderId="14" xfId="4" applyFont="1" applyFill="1" applyBorder="1" applyAlignment="1">
      <alignment horizontal="right"/>
    </xf>
    <xf numFmtId="43" fontId="0" fillId="0" borderId="5" xfId="4" applyFont="1" applyFill="1" applyBorder="1"/>
    <xf numFmtId="0" fontId="3" fillId="5" borderId="17" xfId="0" applyFont="1" applyFill="1" applyBorder="1"/>
    <xf numFmtId="164" fontId="3" fillId="5" borderId="18" xfId="4" applyNumberFormat="1" applyFont="1" applyFill="1" applyBorder="1" applyAlignment="1"/>
    <xf numFmtId="43" fontId="3" fillId="5" borderId="18" xfId="4" applyFont="1" applyFill="1" applyBorder="1" applyAlignment="1"/>
    <xf numFmtId="0" fontId="0" fillId="4" borderId="20" xfId="0" applyFill="1" applyBorder="1" applyAlignment="1">
      <alignment vertical="center" wrapText="1"/>
    </xf>
    <xf numFmtId="0" fontId="0" fillId="4" borderId="21" xfId="0" applyFill="1" applyBorder="1" applyAlignment="1">
      <alignment vertical="center" wrapText="1"/>
    </xf>
    <xf numFmtId="0" fontId="0" fillId="4" borderId="22" xfId="0" applyFill="1" applyBorder="1" applyAlignment="1">
      <alignment vertical="center" wrapText="1"/>
    </xf>
    <xf numFmtId="0" fontId="3" fillId="5" borderId="23" xfId="0" applyFont="1" applyFill="1" applyBorder="1"/>
    <xf numFmtId="164" fontId="3" fillId="5" borderId="24" xfId="4" applyNumberFormat="1" applyFont="1" applyFill="1" applyBorder="1" applyAlignment="1"/>
    <xf numFmtId="9" fontId="3" fillId="5" borderId="24" xfId="1" applyFont="1" applyFill="1" applyBorder="1" applyAlignment="1"/>
    <xf numFmtId="165" fontId="3" fillId="5" borderId="24" xfId="2" applyNumberFormat="1" applyFont="1" applyFill="1" applyBorder="1" applyAlignment="1"/>
    <xf numFmtId="44" fontId="3" fillId="5" borderId="24" xfId="2" applyFont="1" applyFill="1" applyBorder="1" applyAlignment="1"/>
    <xf numFmtId="166" fontId="3" fillId="5" borderId="24" xfId="4" applyNumberFormat="1" applyFont="1" applyFill="1" applyBorder="1" applyAlignment="1"/>
    <xf numFmtId="43" fontId="3" fillId="5" borderId="25" xfId="4" applyFont="1" applyFill="1" applyBorder="1" applyAlignment="1"/>
    <xf numFmtId="167" fontId="0" fillId="0" borderId="13" xfId="2" applyNumberFormat="1" applyFont="1" applyFill="1" applyBorder="1" applyAlignment="1">
      <alignment horizontal="right" vertical="top"/>
    </xf>
    <xf numFmtId="167" fontId="0" fillId="0" borderId="5" xfId="2" applyNumberFormat="1" applyFont="1" applyFill="1" applyBorder="1" applyAlignment="1">
      <alignment horizontal="right" vertical="top"/>
    </xf>
    <xf numFmtId="165" fontId="3" fillId="5" borderId="18" xfId="2" applyNumberFormat="1" applyFont="1" applyFill="1" applyBorder="1" applyAlignment="1"/>
    <xf numFmtId="44" fontId="3" fillId="5" borderId="18" xfId="2" applyFont="1" applyFill="1" applyBorder="1" applyAlignment="1">
      <alignment horizontal="right"/>
    </xf>
    <xf numFmtId="0" fontId="0" fillId="6" borderId="26" xfId="0" applyFill="1" applyBorder="1"/>
    <xf numFmtId="0" fontId="0" fillId="6" borderId="15" xfId="0" applyFill="1" applyBorder="1" applyAlignment="1">
      <alignment vertical="center" wrapText="1"/>
    </xf>
    <xf numFmtId="0" fontId="0" fillId="6" borderId="22" xfId="0" applyFill="1" applyBorder="1" applyAlignment="1">
      <alignment vertical="center" wrapText="1"/>
    </xf>
    <xf numFmtId="0" fontId="3" fillId="5" borderId="26" xfId="0" applyFont="1" applyFill="1" applyBorder="1"/>
    <xf numFmtId="0" fontId="3" fillId="5" borderId="15" xfId="0" applyFont="1" applyFill="1" applyBorder="1"/>
    <xf numFmtId="164" fontId="3" fillId="5" borderId="15" xfId="4" applyNumberFormat="1" applyFont="1" applyFill="1" applyBorder="1" applyAlignment="1"/>
    <xf numFmtId="9" fontId="3" fillId="5" borderId="15" xfId="1" applyFont="1" applyFill="1" applyBorder="1" applyAlignment="1"/>
    <xf numFmtId="165" fontId="3" fillId="5" borderId="15" xfId="2" applyNumberFormat="1" applyFont="1" applyFill="1" applyBorder="1" applyAlignment="1"/>
    <xf numFmtId="44" fontId="3" fillId="5" borderId="15" xfId="2" applyFont="1" applyFill="1" applyBorder="1" applyAlignment="1"/>
    <xf numFmtId="166" fontId="3" fillId="5" borderId="15" xfId="4" applyNumberFormat="1" applyFont="1" applyFill="1" applyBorder="1" applyAlignment="1"/>
    <xf numFmtId="43" fontId="3" fillId="5" borderId="16" xfId="4" applyFont="1" applyFill="1" applyBorder="1" applyAlignment="1"/>
    <xf numFmtId="0" fontId="0" fillId="0" borderId="26" xfId="0" applyBorder="1"/>
    <xf numFmtId="43" fontId="3" fillId="5" borderId="15" xfId="4" applyFont="1" applyFill="1" applyBorder="1" applyAlignment="1"/>
    <xf numFmtId="164" fontId="3" fillId="5" borderId="15" xfId="4" applyNumberFormat="1" applyFont="1" applyFill="1" applyBorder="1" applyAlignment="1">
      <alignment horizontal="right"/>
    </xf>
    <xf numFmtId="44" fontId="3" fillId="5" borderId="15" xfId="2" applyFont="1" applyFill="1" applyBorder="1" applyAlignment="1">
      <alignment horizontal="right"/>
    </xf>
    <xf numFmtId="166" fontId="3" fillId="5" borderId="15" xfId="4" applyNumberFormat="1" applyFont="1" applyFill="1" applyBorder="1" applyAlignment="1">
      <alignment horizontal="right"/>
    </xf>
    <xf numFmtId="43" fontId="3" fillId="5" borderId="16" xfId="4" applyFont="1" applyFill="1" applyBorder="1" applyAlignment="1">
      <alignment horizontal="right"/>
    </xf>
    <xf numFmtId="0" fontId="3" fillId="5" borderId="7" xfId="0" applyFont="1" applyFill="1" applyBorder="1"/>
    <xf numFmtId="164" fontId="3" fillId="5" borderId="5" xfId="4" applyNumberFormat="1" applyFont="1" applyFill="1" applyBorder="1" applyAlignment="1"/>
    <xf numFmtId="43" fontId="3" fillId="5" borderId="5" xfId="4" applyFont="1" applyFill="1" applyBorder="1" applyAlignment="1"/>
    <xf numFmtId="165" fontId="3" fillId="5" borderId="5" xfId="2" applyNumberFormat="1" applyFont="1" applyFill="1" applyBorder="1" applyAlignment="1"/>
    <xf numFmtId="44" fontId="3" fillId="5" borderId="5" xfId="2" applyFont="1" applyFill="1" applyBorder="1" applyAlignment="1">
      <alignment horizontal="right"/>
    </xf>
    <xf numFmtId="0" fontId="2" fillId="0" borderId="0" xfId="0" applyFont="1"/>
    <xf numFmtId="9" fontId="2" fillId="0" borderId="0" xfId="1" applyFont="1"/>
    <xf numFmtId="165" fontId="2" fillId="0" borderId="0" xfId="2" applyNumberFormat="1" applyFont="1"/>
    <xf numFmtId="164" fontId="2" fillId="0" borderId="0" xfId="4" applyNumberFormat="1" applyFont="1"/>
    <xf numFmtId="43" fontId="2" fillId="0" borderId="0" xfId="4" applyFont="1"/>
    <xf numFmtId="0" fontId="8" fillId="4" borderId="7" xfId="0" applyFont="1" applyFill="1" applyBorder="1" applyAlignment="1">
      <alignment horizontal="center" vertical="center" wrapText="1"/>
    </xf>
    <xf numFmtId="9" fontId="8" fillId="4" borderId="6" xfId="1" applyFont="1" applyFill="1" applyBorder="1" applyAlignment="1">
      <alignment horizontal="center" vertical="center" wrapText="1"/>
    </xf>
    <xf numFmtId="44" fontId="8" fillId="4" borderId="6" xfId="2" applyFont="1" applyFill="1" applyBorder="1" applyAlignment="1">
      <alignment horizontal="center" vertical="center" wrapText="1"/>
    </xf>
    <xf numFmtId="0" fontId="8" fillId="4" borderId="17" xfId="0" applyFont="1" applyFill="1" applyBorder="1" applyAlignment="1">
      <alignment horizontal="center" vertical="center" wrapText="1"/>
    </xf>
    <xf numFmtId="0" fontId="8" fillId="4" borderId="18" xfId="0" applyFont="1" applyFill="1" applyBorder="1" applyAlignment="1">
      <alignment horizontal="center" vertical="center" wrapText="1"/>
    </xf>
    <xf numFmtId="0" fontId="8" fillId="4" borderId="19" xfId="0" applyFont="1" applyFill="1" applyBorder="1" applyAlignment="1">
      <alignment horizontal="center" vertical="center" wrapText="1"/>
    </xf>
    <xf numFmtId="165" fontId="0" fillId="0" borderId="13" xfId="2" applyNumberFormat="1" applyFont="1" applyBorder="1" applyAlignment="1"/>
    <xf numFmtId="165" fontId="0" fillId="0" borderId="15" xfId="2" applyNumberFormat="1" applyFont="1" applyBorder="1" applyAlignment="1"/>
    <xf numFmtId="0" fontId="3" fillId="5" borderId="27" xfId="0" applyFont="1" applyFill="1" applyBorder="1"/>
    <xf numFmtId="0" fontId="0" fillId="0" borderId="28" xfId="0"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31" xfId="0" applyBorder="1" applyAlignment="1">
      <alignment horizontal="left" vertical="center"/>
    </xf>
    <xf numFmtId="0" fontId="0" fillId="0" borderId="32" xfId="0" applyBorder="1" applyAlignment="1">
      <alignment vertical="center"/>
    </xf>
    <xf numFmtId="0" fontId="3" fillId="5" borderId="33" xfId="0" applyFont="1" applyFill="1" applyBorder="1"/>
    <xf numFmtId="0" fontId="3" fillId="5" borderId="34" xfId="0" applyFont="1" applyFill="1" applyBorder="1"/>
    <xf numFmtId="0" fontId="0" fillId="0" borderId="31" xfId="0" applyBorder="1" applyAlignment="1">
      <alignment vertical="center"/>
    </xf>
    <xf numFmtId="0" fontId="0" fillId="6" borderId="21" xfId="0" applyFill="1" applyBorder="1" applyAlignment="1">
      <alignment vertical="center" wrapText="1"/>
    </xf>
    <xf numFmtId="0" fontId="3" fillId="5" borderId="35" xfId="0" applyFont="1" applyFill="1" applyBorder="1"/>
    <xf numFmtId="0" fontId="0" fillId="0" borderId="35" xfId="0" applyBorder="1"/>
    <xf numFmtId="0" fontId="3" fillId="5" borderId="36" xfId="0" applyFont="1" applyFill="1" applyBorder="1"/>
    <xf numFmtId="164" fontId="0" fillId="0" borderId="18" xfId="4" applyNumberFormat="1" applyFont="1" applyFill="1" applyBorder="1"/>
    <xf numFmtId="43" fontId="0" fillId="0" borderId="18" xfId="4" applyFont="1" applyFill="1" applyBorder="1"/>
    <xf numFmtId="37" fontId="0" fillId="0" borderId="18" xfId="4" applyNumberFormat="1" applyFont="1" applyFill="1" applyBorder="1" applyAlignment="1">
      <alignment horizontal="right"/>
    </xf>
    <xf numFmtId="9" fontId="0" fillId="0" borderId="18" xfId="1" applyFont="1" applyFill="1" applyBorder="1"/>
    <xf numFmtId="165" fontId="0" fillId="0" borderId="18" xfId="2" applyNumberFormat="1" applyFont="1" applyBorder="1" applyAlignment="1"/>
    <xf numFmtId="44" fontId="0" fillId="0" borderId="18" xfId="2" applyFont="1" applyFill="1" applyBorder="1" applyAlignment="1">
      <alignment horizontal="right" vertical="top"/>
    </xf>
    <xf numFmtId="166" fontId="0" fillId="0" borderId="18" xfId="4" applyNumberFormat="1" applyFont="1" applyFill="1" applyBorder="1" applyAlignment="1">
      <alignment horizontal="right"/>
    </xf>
    <xf numFmtId="43" fontId="0" fillId="0" borderId="19" xfId="4" applyFont="1" applyFill="1" applyBorder="1"/>
    <xf numFmtId="0" fontId="8" fillId="4" borderId="13" xfId="0" applyFont="1" applyFill="1" applyBorder="1" applyAlignment="1">
      <alignment horizontal="center" vertical="center" wrapText="1"/>
    </xf>
    <xf numFmtId="0" fontId="3" fillId="5" borderId="5" xfId="0" applyFont="1" applyFill="1" applyBorder="1"/>
    <xf numFmtId="0" fontId="0" fillId="4" borderId="3" xfId="0" applyFill="1" applyBorder="1" applyAlignment="1">
      <alignment vertical="center" wrapText="1"/>
    </xf>
    <xf numFmtId="0" fontId="0" fillId="4" borderId="13" xfId="0" applyFill="1" applyBorder="1" applyAlignment="1">
      <alignment vertical="center" wrapText="1"/>
    </xf>
    <xf numFmtId="0" fontId="8" fillId="4" borderId="37" xfId="0" applyFont="1" applyFill="1" applyBorder="1" applyAlignment="1">
      <alignment horizontal="center" vertical="center" wrapText="1"/>
    </xf>
    <xf numFmtId="164" fontId="8" fillId="4" borderId="36" xfId="4" applyNumberFormat="1" applyFont="1" applyFill="1" applyBorder="1" applyAlignment="1">
      <alignment horizontal="center" vertical="center" wrapText="1"/>
    </xf>
    <xf numFmtId="0" fontId="8" fillId="4" borderId="36" xfId="0" applyFont="1" applyFill="1" applyBorder="1" applyAlignment="1">
      <alignment horizontal="center" vertical="center" wrapText="1"/>
    </xf>
    <xf numFmtId="0" fontId="8" fillId="7" borderId="37" xfId="0" applyFont="1" applyFill="1" applyBorder="1" applyAlignment="1">
      <alignment horizontal="center" vertical="center" wrapText="1"/>
    </xf>
    <xf numFmtId="0" fontId="8" fillId="7" borderId="13" xfId="0" applyFont="1" applyFill="1" applyBorder="1" applyAlignment="1">
      <alignment horizontal="center" vertical="center" wrapText="1"/>
    </xf>
    <xf numFmtId="164" fontId="8" fillId="7" borderId="36" xfId="4" applyNumberFormat="1" applyFont="1" applyFill="1" applyBorder="1" applyAlignment="1">
      <alignment horizontal="center" vertical="center" wrapText="1"/>
    </xf>
    <xf numFmtId="164" fontId="8" fillId="7" borderId="5" xfId="4" applyNumberFormat="1" applyFont="1" applyFill="1" applyBorder="1" applyAlignment="1">
      <alignment horizontal="center" vertical="center" wrapText="1"/>
    </xf>
    <xf numFmtId="0" fontId="6" fillId="7" borderId="38"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7" borderId="39" xfId="0" applyFont="1" applyFill="1" applyBorder="1" applyAlignment="1">
      <alignment horizontal="center" vertical="center" wrapText="1"/>
    </xf>
    <xf numFmtId="0" fontId="6" fillId="7" borderId="0" xfId="0" applyFont="1" applyFill="1" applyAlignment="1">
      <alignment horizontal="center" vertical="center" wrapText="1"/>
    </xf>
    <xf numFmtId="0" fontId="6" fillId="4" borderId="24" xfId="0" applyFont="1" applyFill="1" applyBorder="1" applyAlignment="1">
      <alignment horizontal="center" vertical="center" wrapText="1"/>
    </xf>
    <xf numFmtId="164" fontId="8" fillId="4" borderId="24" xfId="4" applyNumberFormat="1" applyFont="1" applyFill="1" applyBorder="1" applyAlignment="1">
      <alignment horizontal="center" vertical="center" wrapText="1"/>
    </xf>
    <xf numFmtId="0" fontId="0" fillId="0" borderId="42" xfId="0" applyBorder="1" applyAlignment="1">
      <alignment horizontal="left" vertical="center" wrapText="1"/>
    </xf>
    <xf numFmtId="164" fontId="0" fillId="0" borderId="0" xfId="4" applyNumberFormat="1" applyFont="1" applyFill="1" applyBorder="1"/>
    <xf numFmtId="165" fontId="0" fillId="0" borderId="0" xfId="2" applyNumberFormat="1" applyFont="1" applyFill="1" applyBorder="1"/>
    <xf numFmtId="164" fontId="0" fillId="0" borderId="0" xfId="4" applyNumberFormat="1" applyFont="1" applyFill="1" applyBorder="1" applyAlignment="1">
      <alignment horizontal="right"/>
    </xf>
    <xf numFmtId="164" fontId="3" fillId="0" borderId="0" xfId="4" applyNumberFormat="1" applyFont="1" applyFill="1" applyBorder="1" applyAlignment="1"/>
    <xf numFmtId="165" fontId="3" fillId="0" borderId="0" xfId="2" applyNumberFormat="1" applyFont="1" applyFill="1" applyBorder="1" applyAlignment="1"/>
    <xf numFmtId="165" fontId="0" fillId="0" borderId="0" xfId="2" applyNumberFormat="1" applyFont="1" applyFill="1" applyBorder="1" applyAlignment="1">
      <alignment horizontal="center"/>
    </xf>
    <xf numFmtId="0" fontId="0" fillId="0" borderId="0" xfId="0" applyAlignment="1">
      <alignment vertical="center" wrapText="1"/>
    </xf>
    <xf numFmtId="164" fontId="3" fillId="0" borderId="0" xfId="4" applyNumberFormat="1" applyFont="1" applyFill="1" applyBorder="1" applyAlignment="1">
      <alignment horizontal="right"/>
    </xf>
    <xf numFmtId="0" fontId="6" fillId="0" borderId="0" xfId="0" applyFont="1" applyAlignment="1">
      <alignment vertical="center"/>
    </xf>
    <xf numFmtId="165" fontId="0" fillId="0" borderId="0" xfId="2" applyNumberFormat="1" applyFont="1" applyFill="1" applyBorder="1" applyAlignment="1"/>
    <xf numFmtId="0" fontId="8" fillId="4" borderId="28" xfId="0" applyFont="1" applyFill="1" applyBorder="1" applyAlignment="1">
      <alignment horizontal="center" vertical="center" wrapText="1"/>
    </xf>
    <xf numFmtId="9" fontId="0" fillId="0" borderId="0" xfId="1" applyFont="1" applyFill="1" applyBorder="1"/>
    <xf numFmtId="0" fontId="0" fillId="0" borderId="2" xfId="0" applyBorder="1" applyAlignment="1">
      <alignment horizontal="left" vertical="center" wrapText="1"/>
    </xf>
    <xf numFmtId="0" fontId="0" fillId="0" borderId="41" xfId="0" applyBorder="1" applyAlignment="1">
      <alignment horizontal="left" vertical="center" wrapText="1"/>
    </xf>
    <xf numFmtId="0" fontId="3" fillId="5" borderId="44" xfId="0" applyFont="1" applyFill="1" applyBorder="1"/>
    <xf numFmtId="0" fontId="3" fillId="5" borderId="45" xfId="0" applyFont="1" applyFill="1" applyBorder="1"/>
    <xf numFmtId="0" fontId="3" fillId="5" borderId="46" xfId="0" applyFont="1" applyFill="1" applyBorder="1"/>
    <xf numFmtId="0" fontId="3" fillId="5" borderId="47" xfId="0" applyFont="1" applyFill="1" applyBorder="1"/>
    <xf numFmtId="0" fontId="3" fillId="5" borderId="48" xfId="0" applyFont="1" applyFill="1" applyBorder="1"/>
    <xf numFmtId="0" fontId="0" fillId="4" borderId="49" xfId="0" applyFill="1" applyBorder="1" applyAlignment="1">
      <alignment vertical="center" wrapText="1"/>
    </xf>
    <xf numFmtId="0" fontId="0" fillId="4" borderId="40" xfId="0" applyFill="1" applyBorder="1" applyAlignment="1">
      <alignment vertical="center" wrapText="1"/>
    </xf>
    <xf numFmtId="0" fontId="3" fillId="5" borderId="30" xfId="0" applyFont="1" applyFill="1" applyBorder="1"/>
    <xf numFmtId="0" fontId="0" fillId="0" borderId="20" xfId="0" applyBorder="1" applyAlignment="1">
      <alignment horizontal="left" vertical="center" wrapText="1"/>
    </xf>
    <xf numFmtId="0" fontId="0" fillId="0" borderId="50" xfId="0" applyBorder="1" applyAlignment="1">
      <alignment horizontal="left" vertical="center" wrapText="1"/>
    </xf>
    <xf numFmtId="0" fontId="0" fillId="0" borderId="51" xfId="0" applyBorder="1" applyAlignment="1">
      <alignment vertical="center" wrapText="1"/>
    </xf>
    <xf numFmtId="0" fontId="0" fillId="0" borderId="20" xfId="0" applyBorder="1" applyAlignment="1">
      <alignment vertical="center" wrapText="1"/>
    </xf>
    <xf numFmtId="165" fontId="3" fillId="5" borderId="44" xfId="0" applyNumberFormat="1" applyFont="1" applyFill="1" applyBorder="1" applyAlignment="1">
      <alignment horizontal="center"/>
    </xf>
    <xf numFmtId="165" fontId="3" fillId="5" borderId="49" xfId="0" applyNumberFormat="1" applyFont="1" applyFill="1" applyBorder="1" applyAlignment="1">
      <alignment horizontal="center"/>
    </xf>
    <xf numFmtId="165" fontId="3" fillId="5" borderId="53" xfId="0" applyNumberFormat="1" applyFont="1" applyFill="1" applyBorder="1" applyAlignment="1">
      <alignment horizontal="center"/>
    </xf>
    <xf numFmtId="165" fontId="3" fillId="5" borderId="54" xfId="0" applyNumberFormat="1" applyFont="1" applyFill="1" applyBorder="1" applyAlignment="1">
      <alignment horizontal="center"/>
    </xf>
    <xf numFmtId="165" fontId="0" fillId="4" borderId="55" xfId="0" applyNumberFormat="1" applyFill="1" applyBorder="1" applyAlignment="1">
      <alignment horizontal="center" vertical="center" wrapText="1"/>
    </xf>
    <xf numFmtId="165" fontId="0" fillId="4" borderId="18" xfId="0" applyNumberFormat="1" applyFill="1" applyBorder="1" applyAlignment="1">
      <alignment horizontal="center" vertical="center" wrapText="1"/>
    </xf>
    <xf numFmtId="165" fontId="0" fillId="4" borderId="13" xfId="0" applyNumberFormat="1" applyFill="1" applyBorder="1" applyAlignment="1">
      <alignment horizontal="center" vertical="center" wrapText="1"/>
    </xf>
    <xf numFmtId="165" fontId="3" fillId="5" borderId="48" xfId="0" applyNumberFormat="1" applyFont="1" applyFill="1" applyBorder="1" applyAlignment="1">
      <alignment horizontal="center"/>
    </xf>
    <xf numFmtId="165" fontId="3" fillId="5" borderId="24" xfId="0" applyNumberFormat="1" applyFont="1" applyFill="1" applyBorder="1" applyAlignment="1">
      <alignment horizontal="center"/>
    </xf>
    <xf numFmtId="165" fontId="0" fillId="4" borderId="40" xfId="0" applyNumberFormat="1" applyFill="1" applyBorder="1" applyAlignment="1">
      <alignment horizontal="center" vertical="center" wrapText="1"/>
    </xf>
    <xf numFmtId="165" fontId="0" fillId="4" borderId="49" xfId="0" applyNumberFormat="1" applyFill="1" applyBorder="1" applyAlignment="1">
      <alignment horizontal="center" vertical="center" wrapText="1"/>
    </xf>
    <xf numFmtId="165" fontId="3" fillId="5" borderId="7" xfId="0" applyNumberFormat="1" applyFont="1" applyFill="1" applyBorder="1" applyAlignment="1">
      <alignment horizontal="center"/>
    </xf>
    <xf numFmtId="165" fontId="0" fillId="4" borderId="3" xfId="0" applyNumberFormat="1" applyFill="1" applyBorder="1" applyAlignment="1">
      <alignment horizontal="center" vertical="center" wrapText="1"/>
    </xf>
    <xf numFmtId="168" fontId="3" fillId="5" borderId="39" xfId="1" applyNumberFormat="1" applyFont="1" applyFill="1" applyBorder="1" applyAlignment="1">
      <alignment horizontal="center"/>
    </xf>
    <xf numFmtId="168" fontId="0" fillId="4" borderId="4" xfId="1" applyNumberFormat="1" applyFont="1" applyFill="1" applyBorder="1" applyAlignment="1">
      <alignment horizontal="center" vertical="center" wrapText="1"/>
    </xf>
    <xf numFmtId="168" fontId="3" fillId="5" borderId="56" xfId="1" applyNumberFormat="1" applyFont="1" applyFill="1" applyBorder="1" applyAlignment="1">
      <alignment horizontal="center"/>
    </xf>
    <xf numFmtId="168" fontId="0" fillId="0" borderId="29" xfId="1" applyNumberFormat="1" applyFont="1" applyBorder="1" applyAlignment="1">
      <alignment horizontal="center" vertical="center"/>
    </xf>
    <xf numFmtId="168" fontId="0" fillId="0" borderId="30" xfId="1" applyNumberFormat="1" applyFont="1" applyBorder="1" applyAlignment="1">
      <alignment horizontal="center" vertical="center"/>
    </xf>
    <xf numFmtId="168" fontId="3" fillId="5" borderId="57" xfId="1" applyNumberFormat="1" applyFont="1" applyFill="1" applyBorder="1" applyAlignment="1">
      <alignment horizontal="center"/>
    </xf>
    <xf numFmtId="168" fontId="0" fillId="4" borderId="58" xfId="1" applyNumberFormat="1" applyFont="1" applyFill="1" applyBorder="1" applyAlignment="1">
      <alignment horizontal="center" vertical="center" wrapText="1"/>
    </xf>
    <xf numFmtId="168" fontId="3" fillId="5" borderId="6" xfId="1" applyNumberFormat="1" applyFont="1" applyFill="1" applyBorder="1" applyAlignment="1">
      <alignment horizontal="center"/>
    </xf>
    <xf numFmtId="168" fontId="0" fillId="4" borderId="14" xfId="1" applyNumberFormat="1" applyFont="1" applyFill="1" applyBorder="1" applyAlignment="1">
      <alignment horizontal="center" vertical="center" wrapText="1"/>
    </xf>
    <xf numFmtId="168" fontId="3" fillId="5" borderId="58" xfId="1" applyNumberFormat="1" applyFont="1" applyFill="1" applyBorder="1" applyAlignment="1">
      <alignment horizontal="center"/>
    </xf>
    <xf numFmtId="168" fontId="0" fillId="4" borderId="59" xfId="1" applyNumberFormat="1" applyFont="1" applyFill="1" applyBorder="1" applyAlignment="1">
      <alignment horizontal="center" vertical="center" wrapText="1"/>
    </xf>
    <xf numFmtId="168" fontId="3" fillId="5" borderId="49" xfId="1" applyNumberFormat="1" applyFont="1" applyFill="1" applyBorder="1" applyAlignment="1">
      <alignment horizontal="center"/>
    </xf>
    <xf numFmtId="168" fontId="0" fillId="0" borderId="13" xfId="1" applyNumberFormat="1" applyFont="1" applyFill="1" applyBorder="1" applyAlignment="1">
      <alignment horizontal="center"/>
    </xf>
    <xf numFmtId="168" fontId="0" fillId="0" borderId="15" xfId="1" applyNumberFormat="1" applyFont="1" applyFill="1" applyBorder="1" applyAlignment="1">
      <alignment horizontal="center"/>
    </xf>
    <xf numFmtId="168" fontId="3" fillId="5" borderId="54" xfId="1" applyNumberFormat="1" applyFont="1" applyFill="1" applyBorder="1" applyAlignment="1">
      <alignment horizontal="center"/>
    </xf>
    <xf numFmtId="168" fontId="0" fillId="4" borderId="13" xfId="1" applyNumberFormat="1" applyFont="1" applyFill="1" applyBorder="1" applyAlignment="1">
      <alignment horizontal="center" vertical="center" wrapText="1"/>
    </xf>
    <xf numFmtId="168" fontId="3" fillId="5" borderId="24" xfId="1" applyNumberFormat="1" applyFont="1" applyFill="1" applyBorder="1" applyAlignment="1">
      <alignment horizontal="center"/>
    </xf>
    <xf numFmtId="168" fontId="0" fillId="4" borderId="49" xfId="1" applyNumberFormat="1" applyFont="1" applyFill="1" applyBorder="1" applyAlignment="1">
      <alignment horizontal="center" vertical="center" wrapText="1"/>
    </xf>
    <xf numFmtId="168" fontId="3" fillId="5" borderId="5" xfId="1" applyNumberFormat="1" applyFont="1" applyFill="1" applyBorder="1" applyAlignment="1">
      <alignment horizontal="center"/>
    </xf>
    <xf numFmtId="164" fontId="3" fillId="5" borderId="45" xfId="4" applyNumberFormat="1" applyFont="1" applyFill="1" applyBorder="1" applyAlignment="1">
      <alignment horizontal="center"/>
    </xf>
    <xf numFmtId="164" fontId="3" fillId="5" borderId="54" xfId="4" applyNumberFormat="1" applyFont="1" applyFill="1" applyBorder="1" applyAlignment="1">
      <alignment horizontal="center"/>
    </xf>
    <xf numFmtId="164" fontId="0" fillId="4" borderId="50" xfId="4" applyNumberFormat="1" applyFont="1" applyFill="1" applyBorder="1" applyAlignment="1">
      <alignment horizontal="center" vertical="center" wrapText="1"/>
    </xf>
    <xf numFmtId="164" fontId="0" fillId="4" borderId="13" xfId="4" applyNumberFormat="1" applyFont="1" applyFill="1" applyBorder="1" applyAlignment="1">
      <alignment horizontal="center" vertical="center" wrapText="1"/>
    </xf>
    <xf numFmtId="164" fontId="3" fillId="5" borderId="48" xfId="4" applyNumberFormat="1" applyFont="1" applyFill="1" applyBorder="1" applyAlignment="1">
      <alignment horizontal="center"/>
    </xf>
    <xf numFmtId="164" fontId="3" fillId="5" borderId="24" xfId="4" applyNumberFormat="1" applyFont="1" applyFill="1" applyBorder="1" applyAlignment="1">
      <alignment horizontal="center"/>
    </xf>
    <xf numFmtId="164" fontId="3" fillId="5" borderId="60" xfId="4" applyNumberFormat="1" applyFont="1" applyFill="1" applyBorder="1" applyAlignment="1">
      <alignment horizontal="center"/>
    </xf>
    <xf numFmtId="164" fontId="0" fillId="4" borderId="40" xfId="4" applyNumberFormat="1" applyFont="1" applyFill="1" applyBorder="1" applyAlignment="1">
      <alignment horizontal="center" vertical="center" wrapText="1"/>
    </xf>
    <xf numFmtId="164" fontId="0" fillId="4" borderId="49" xfId="4" applyNumberFormat="1" applyFont="1" applyFill="1" applyBorder="1" applyAlignment="1">
      <alignment horizontal="center" vertical="center" wrapText="1"/>
    </xf>
    <xf numFmtId="164" fontId="3" fillId="5" borderId="7" xfId="4" applyNumberFormat="1" applyFont="1" applyFill="1" applyBorder="1" applyAlignment="1">
      <alignment horizontal="center"/>
    </xf>
    <xf numFmtId="164" fontId="3" fillId="5" borderId="5" xfId="4" applyNumberFormat="1" applyFont="1" applyFill="1" applyBorder="1" applyAlignment="1">
      <alignment horizontal="center"/>
    </xf>
    <xf numFmtId="164" fontId="0" fillId="4" borderId="3" xfId="4" applyNumberFormat="1" applyFont="1" applyFill="1" applyBorder="1" applyAlignment="1">
      <alignment horizontal="center" vertical="center" wrapText="1"/>
    </xf>
    <xf numFmtId="0" fontId="3" fillId="5" borderId="40" xfId="0" applyFont="1" applyFill="1" applyBorder="1" applyAlignment="1">
      <alignment horizontal="center"/>
    </xf>
    <xf numFmtId="0" fontId="3" fillId="5" borderId="49" xfId="0" applyFont="1" applyFill="1" applyBorder="1" applyAlignment="1">
      <alignment horizontal="center"/>
    </xf>
    <xf numFmtId="164" fontId="0" fillId="0" borderId="13" xfId="4" applyNumberFormat="1" applyFont="1" applyFill="1" applyBorder="1" applyAlignment="1">
      <alignment horizontal="center" vertical="center"/>
    </xf>
    <xf numFmtId="168" fontId="0" fillId="0" borderId="14" xfId="1" applyNumberFormat="1" applyFont="1" applyFill="1" applyBorder="1" applyAlignment="1">
      <alignment horizontal="center" vertical="center"/>
    </xf>
    <xf numFmtId="164" fontId="0" fillId="0" borderId="15" xfId="4" applyNumberFormat="1" applyFont="1" applyFill="1" applyBorder="1" applyAlignment="1">
      <alignment horizontal="center" vertical="center"/>
    </xf>
    <xf numFmtId="168" fontId="0" fillId="0" borderId="16" xfId="1" applyNumberFormat="1" applyFont="1" applyFill="1" applyBorder="1" applyAlignment="1">
      <alignment horizontal="center" vertical="center"/>
    </xf>
    <xf numFmtId="0" fontId="0" fillId="0" borderId="61" xfId="0" applyBorder="1" applyAlignment="1">
      <alignment horizontal="left" vertical="center" wrapText="1"/>
    </xf>
    <xf numFmtId="0" fontId="0" fillId="0" borderId="17" xfId="0" applyBorder="1"/>
    <xf numFmtId="0" fontId="3" fillId="5" borderId="42" xfId="0" applyFont="1" applyFill="1" applyBorder="1"/>
    <xf numFmtId="164" fontId="3" fillId="5" borderId="41" xfId="4" applyNumberFormat="1" applyFont="1" applyFill="1" applyBorder="1" applyAlignment="1">
      <alignment horizontal="center"/>
    </xf>
    <xf numFmtId="164" fontId="3" fillId="5" borderId="62" xfId="4" applyNumberFormat="1" applyFont="1" applyFill="1" applyBorder="1" applyAlignment="1">
      <alignment horizontal="center"/>
    </xf>
    <xf numFmtId="168" fontId="3" fillId="5" borderId="63" xfId="1" applyNumberFormat="1" applyFont="1" applyFill="1" applyBorder="1" applyAlignment="1">
      <alignment horizontal="center"/>
    </xf>
    <xf numFmtId="164" fontId="3" fillId="5" borderId="64" xfId="4" applyNumberFormat="1" applyFont="1" applyFill="1" applyBorder="1" applyAlignment="1">
      <alignment horizontal="center"/>
    </xf>
    <xf numFmtId="0" fontId="3" fillId="8" borderId="46" xfId="0" applyFont="1" applyFill="1" applyBorder="1"/>
    <xf numFmtId="0" fontId="3" fillId="5" borderId="58" xfId="4" applyNumberFormat="1" applyFont="1" applyFill="1" applyBorder="1" applyAlignment="1">
      <alignment horizontal="center"/>
    </xf>
    <xf numFmtId="164" fontId="0" fillId="0" borderId="13" xfId="4" applyNumberFormat="1" applyFont="1" applyFill="1" applyBorder="1" applyAlignment="1">
      <alignment horizontal="center"/>
    </xf>
    <xf numFmtId="164" fontId="3" fillId="5" borderId="39" xfId="4" applyNumberFormat="1" applyFont="1" applyFill="1" applyBorder="1" applyAlignment="1">
      <alignment horizontal="center"/>
    </xf>
    <xf numFmtId="164" fontId="0" fillId="4" borderId="65" xfId="4" applyNumberFormat="1" applyFont="1" applyFill="1" applyBorder="1" applyAlignment="1">
      <alignment horizontal="center" vertical="center" wrapText="1"/>
    </xf>
    <xf numFmtId="164" fontId="3" fillId="5" borderId="66" xfId="4" applyNumberFormat="1" applyFont="1" applyFill="1" applyBorder="1" applyAlignment="1">
      <alignment horizontal="center"/>
    </xf>
    <xf numFmtId="165" fontId="3" fillId="5" borderId="60" xfId="2" applyNumberFormat="1" applyFont="1" applyFill="1" applyBorder="1" applyAlignment="1">
      <alignment horizontal="center"/>
    </xf>
    <xf numFmtId="165" fontId="3" fillId="5" borderId="54" xfId="2" applyNumberFormat="1" applyFont="1" applyFill="1" applyBorder="1" applyAlignment="1">
      <alignment horizontal="center"/>
    </xf>
    <xf numFmtId="168" fontId="0" fillId="0" borderId="67" xfId="1" applyNumberFormat="1" applyFont="1" applyBorder="1" applyAlignment="1">
      <alignment horizontal="center" vertical="center"/>
    </xf>
    <xf numFmtId="164" fontId="3" fillId="9" borderId="7" xfId="4" applyNumberFormat="1" applyFont="1" applyFill="1" applyBorder="1" applyAlignment="1">
      <alignment horizontal="center" vertical="center"/>
    </xf>
    <xf numFmtId="164" fontId="3" fillId="9" borderId="5" xfId="4" applyNumberFormat="1" applyFont="1" applyFill="1" applyBorder="1" applyAlignment="1">
      <alignment horizontal="center" vertical="center"/>
    </xf>
    <xf numFmtId="168" fontId="3" fillId="9" borderId="6" xfId="1" applyNumberFormat="1" applyFont="1" applyFill="1" applyBorder="1" applyAlignment="1">
      <alignment horizontal="center" vertical="center"/>
    </xf>
    <xf numFmtId="165" fontId="3" fillId="9" borderId="0" xfId="2" applyNumberFormat="1" applyFont="1" applyFill="1" applyBorder="1" applyAlignment="1">
      <alignment horizontal="center" vertical="center"/>
    </xf>
    <xf numFmtId="165" fontId="3" fillId="9" borderId="5" xfId="2" applyNumberFormat="1" applyFont="1" applyFill="1" applyBorder="1" applyAlignment="1">
      <alignment horizontal="center" vertical="center"/>
    </xf>
    <xf numFmtId="168" fontId="3" fillId="9" borderId="0" xfId="1" applyNumberFormat="1" applyFont="1" applyFill="1" applyBorder="1" applyAlignment="1">
      <alignment horizontal="center" vertical="center"/>
    </xf>
    <xf numFmtId="164" fontId="3" fillId="9" borderId="5" xfId="4" applyNumberFormat="1" applyFont="1" applyFill="1" applyBorder="1" applyAlignment="1">
      <alignment horizontal="center"/>
    </xf>
    <xf numFmtId="0" fontId="3" fillId="8" borderId="47" xfId="0" applyFont="1" applyFill="1" applyBorder="1"/>
    <xf numFmtId="164" fontId="9" fillId="9" borderId="5" xfId="4" applyNumberFormat="1" applyFont="1" applyFill="1" applyBorder="1" applyAlignment="1">
      <alignment horizontal="center"/>
    </xf>
    <xf numFmtId="168" fontId="0" fillId="0" borderId="68" xfId="1" applyNumberFormat="1" applyFont="1" applyBorder="1" applyAlignment="1">
      <alignment horizontal="center" vertical="center"/>
    </xf>
    <xf numFmtId="1" fontId="0" fillId="0" borderId="0" xfId="0" applyNumberFormat="1"/>
    <xf numFmtId="0" fontId="11" fillId="0" borderId="20" xfId="0" applyFont="1" applyBorder="1"/>
    <xf numFmtId="0" fontId="11" fillId="0" borderId="69" xfId="0" applyFont="1" applyBorder="1" applyAlignment="1">
      <alignment horizontal="left" vertical="center" wrapText="1"/>
    </xf>
    <xf numFmtId="0" fontId="11" fillId="0" borderId="42" xfId="0" applyFont="1" applyBorder="1" applyAlignment="1">
      <alignment horizontal="left" vertical="center" wrapText="1"/>
    </xf>
    <xf numFmtId="164" fontId="0" fillId="0" borderId="0" xfId="4" applyNumberFormat="1" applyFont="1" applyFill="1" applyBorder="1" applyAlignment="1">
      <alignment horizontal="center" vertical="center"/>
    </xf>
    <xf numFmtId="169" fontId="0" fillId="0" borderId="0" xfId="4" applyNumberFormat="1" applyFont="1" applyFill="1" applyBorder="1" applyAlignment="1">
      <alignment horizontal="center" vertical="center"/>
    </xf>
    <xf numFmtId="165" fontId="3" fillId="5" borderId="23" xfId="0" applyNumberFormat="1" applyFont="1" applyFill="1" applyBorder="1" applyAlignment="1">
      <alignment horizontal="center"/>
    </xf>
    <xf numFmtId="168" fontId="3" fillId="5" borderId="25" xfId="1" applyNumberFormat="1" applyFont="1" applyFill="1" applyBorder="1" applyAlignment="1">
      <alignment horizontal="center"/>
    </xf>
    <xf numFmtId="0" fontId="0" fillId="0" borderId="55" xfId="0" applyBorder="1" applyAlignment="1">
      <alignment horizontal="left" vertical="center" wrapText="1"/>
    </xf>
    <xf numFmtId="0" fontId="16" fillId="0" borderId="0" xfId="7" applyFill="1"/>
    <xf numFmtId="0" fontId="0" fillId="0" borderId="10" xfId="0" applyBorder="1"/>
    <xf numFmtId="0" fontId="8" fillId="4" borderId="3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24"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3" fillId="5" borderId="49" xfId="4" applyNumberFormat="1" applyFont="1" applyFill="1" applyBorder="1" applyAlignment="1">
      <alignment horizontal="center"/>
    </xf>
    <xf numFmtId="164" fontId="3" fillId="5" borderId="49" xfId="4" applyNumberFormat="1" applyFont="1" applyFill="1" applyBorder="1" applyAlignment="1">
      <alignment horizontal="center"/>
    </xf>
    <xf numFmtId="170" fontId="0" fillId="0" borderId="13" xfId="4" applyNumberFormat="1" applyFont="1" applyFill="1" applyBorder="1" applyAlignment="1">
      <alignment horizontal="center"/>
    </xf>
    <xf numFmtId="170" fontId="3" fillId="9" borderId="5" xfId="4" applyNumberFormat="1" applyFont="1" applyFill="1" applyBorder="1" applyAlignment="1">
      <alignment horizontal="center"/>
    </xf>
    <xf numFmtId="170" fontId="3" fillId="5" borderId="54" xfId="4" applyNumberFormat="1" applyFont="1" applyFill="1" applyBorder="1" applyAlignment="1">
      <alignment horizontal="center"/>
    </xf>
    <xf numFmtId="170" fontId="0" fillId="4" borderId="13" xfId="4" applyNumberFormat="1" applyFont="1" applyFill="1" applyBorder="1" applyAlignment="1">
      <alignment horizontal="center" vertical="center" wrapText="1"/>
    </xf>
    <xf numFmtId="170" fontId="3" fillId="5" borderId="24" xfId="4" applyNumberFormat="1" applyFont="1" applyFill="1" applyBorder="1" applyAlignment="1">
      <alignment horizontal="center"/>
    </xf>
    <xf numFmtId="170" fontId="0" fillId="4" borderId="49" xfId="4" applyNumberFormat="1" applyFont="1" applyFill="1" applyBorder="1" applyAlignment="1">
      <alignment horizontal="center" vertical="center" wrapText="1"/>
    </xf>
    <xf numFmtId="170" fontId="3" fillId="5" borderId="5" xfId="4" applyNumberFormat="1" applyFont="1" applyFill="1" applyBorder="1" applyAlignment="1">
      <alignment horizontal="center"/>
    </xf>
    <xf numFmtId="170" fontId="3" fillId="5" borderId="49" xfId="4" applyNumberFormat="1" applyFont="1" applyFill="1" applyBorder="1" applyAlignment="1">
      <alignment horizontal="center"/>
    </xf>
    <xf numFmtId="165" fontId="3" fillId="9" borderId="24" xfId="2" applyNumberFormat="1" applyFont="1" applyFill="1" applyBorder="1" applyAlignment="1">
      <alignment horizontal="center" vertical="center"/>
    </xf>
    <xf numFmtId="165" fontId="3" fillId="5" borderId="45" xfId="0" applyNumberFormat="1" applyFont="1" applyFill="1" applyBorder="1" applyAlignment="1">
      <alignment horizontal="center"/>
    </xf>
    <xf numFmtId="168" fontId="3" fillId="5" borderId="70" xfId="1" applyNumberFormat="1" applyFont="1" applyFill="1" applyBorder="1" applyAlignment="1">
      <alignment horizontal="center"/>
    </xf>
    <xf numFmtId="165" fontId="0" fillId="4" borderId="31" xfId="0" applyNumberFormat="1" applyFill="1" applyBorder="1" applyAlignment="1">
      <alignment horizontal="center" vertical="center" wrapText="1"/>
    </xf>
    <xf numFmtId="165" fontId="0" fillId="4" borderId="62" xfId="0" applyNumberFormat="1" applyFill="1" applyBorder="1" applyAlignment="1">
      <alignment horizontal="center" vertical="center" wrapText="1"/>
    </xf>
    <xf numFmtId="168" fontId="0" fillId="4" borderId="67" xfId="1" applyNumberFormat="1" applyFont="1" applyFill="1" applyBorder="1" applyAlignment="1">
      <alignment horizontal="center" vertical="center" wrapText="1"/>
    </xf>
    <xf numFmtId="165" fontId="0" fillId="0" borderId="49" xfId="2" applyNumberFormat="1" applyFont="1" applyFill="1" applyBorder="1" applyAlignment="1">
      <alignment horizontal="center" vertical="center"/>
    </xf>
    <xf numFmtId="165" fontId="0" fillId="0" borderId="15" xfId="2" applyNumberFormat="1" applyFont="1" applyFill="1" applyBorder="1" applyAlignment="1">
      <alignment horizontal="center" vertical="center"/>
    </xf>
    <xf numFmtId="164" fontId="0" fillId="0" borderId="18" xfId="4" applyNumberFormat="1" applyFont="1" applyFill="1" applyBorder="1" applyAlignment="1">
      <alignment horizontal="center" vertical="center"/>
    </xf>
    <xf numFmtId="168" fontId="0" fillId="0" borderId="38" xfId="1" applyNumberFormat="1" applyFont="1" applyFill="1" applyBorder="1" applyAlignment="1">
      <alignment horizontal="center" vertical="center"/>
    </xf>
    <xf numFmtId="168" fontId="0" fillId="0" borderId="21" xfId="1" applyNumberFormat="1" applyFont="1" applyFill="1" applyBorder="1" applyAlignment="1">
      <alignment horizontal="center" vertical="center"/>
    </xf>
    <xf numFmtId="168" fontId="0" fillId="0" borderId="15" xfId="1" applyNumberFormat="1" applyFont="1" applyFill="1" applyBorder="1" applyAlignment="1">
      <alignment horizontal="center" vertical="center"/>
    </xf>
    <xf numFmtId="164" fontId="3" fillId="5" borderId="44" xfId="4" applyNumberFormat="1" applyFont="1" applyFill="1" applyBorder="1" applyAlignment="1">
      <alignment horizontal="center"/>
    </xf>
    <xf numFmtId="164" fontId="3" fillId="5" borderId="38" xfId="4" applyNumberFormat="1" applyFont="1" applyFill="1" applyBorder="1" applyAlignment="1">
      <alignment horizontal="center"/>
    </xf>
    <xf numFmtId="164" fontId="0" fillId="4" borderId="17" xfId="4" applyNumberFormat="1" applyFont="1" applyFill="1" applyBorder="1" applyAlignment="1">
      <alignment horizontal="center" vertical="center" wrapText="1"/>
    </xf>
    <xf numFmtId="164" fontId="0" fillId="4" borderId="18" xfId="4" applyNumberFormat="1" applyFont="1" applyFill="1" applyBorder="1" applyAlignment="1">
      <alignment horizontal="center" vertical="center" wrapText="1"/>
    </xf>
    <xf numFmtId="168" fontId="0" fillId="4" borderId="18" xfId="1" applyNumberFormat="1" applyFont="1" applyFill="1" applyBorder="1" applyAlignment="1">
      <alignment horizontal="center" vertical="center" wrapText="1"/>
    </xf>
    <xf numFmtId="170" fontId="0" fillId="4" borderId="18" xfId="4" applyNumberFormat="1" applyFont="1" applyFill="1" applyBorder="1" applyAlignment="1">
      <alignment horizontal="center" vertical="center" wrapText="1"/>
    </xf>
    <xf numFmtId="164" fontId="0" fillId="0" borderId="3" xfId="4" applyNumberFormat="1" applyFont="1" applyBorder="1" applyAlignment="1">
      <alignment horizontal="center"/>
    </xf>
    <xf numFmtId="164" fontId="0" fillId="0" borderId="13" xfId="4" applyNumberFormat="1" applyFont="1" applyBorder="1" applyAlignment="1">
      <alignment horizontal="center"/>
    </xf>
    <xf numFmtId="164" fontId="3" fillId="9" borderId="60" xfId="4" applyNumberFormat="1" applyFont="1" applyFill="1" applyBorder="1" applyAlignment="1">
      <alignment horizontal="center" vertical="center"/>
    </xf>
    <xf numFmtId="164" fontId="3" fillId="9" borderId="54" xfId="4" applyNumberFormat="1" applyFont="1" applyFill="1" applyBorder="1" applyAlignment="1">
      <alignment horizontal="center" vertical="center"/>
    </xf>
    <xf numFmtId="168" fontId="3" fillId="9" borderId="57" xfId="1" applyNumberFormat="1" applyFont="1" applyFill="1" applyBorder="1" applyAlignment="1">
      <alignment horizontal="center" vertical="center"/>
    </xf>
    <xf numFmtId="165" fontId="0" fillId="0" borderId="3" xfId="0" applyNumberFormat="1" applyBorder="1" applyAlignment="1">
      <alignment horizontal="center"/>
    </xf>
    <xf numFmtId="165" fontId="0" fillId="0" borderId="13" xfId="0" applyNumberFormat="1" applyBorder="1" applyAlignment="1">
      <alignment horizontal="center"/>
    </xf>
    <xf numFmtId="168" fontId="0" fillId="0" borderId="14" xfId="1" applyNumberFormat="1" applyFont="1" applyBorder="1" applyAlignment="1">
      <alignment horizontal="center"/>
    </xf>
    <xf numFmtId="0" fontId="0" fillId="0" borderId="68" xfId="0" applyBorder="1"/>
    <xf numFmtId="0" fontId="0" fillId="0" borderId="71" xfId="0" applyBorder="1"/>
    <xf numFmtId="164" fontId="0" fillId="0" borderId="14" xfId="4" applyNumberFormat="1" applyFont="1" applyBorder="1" applyAlignment="1">
      <alignment horizontal="center"/>
    </xf>
    <xf numFmtId="0" fontId="0" fillId="10" borderId="0" xfId="0" applyFill="1"/>
    <xf numFmtId="10" fontId="0" fillId="0" borderId="15" xfId="1" applyNumberFormat="1" applyFont="1" applyBorder="1" applyAlignment="1">
      <alignment horizontal="center" vertical="center"/>
    </xf>
    <xf numFmtId="165" fontId="0" fillId="0" borderId="15" xfId="2" applyNumberFormat="1" applyFont="1" applyBorder="1"/>
    <xf numFmtId="0" fontId="0" fillId="0" borderId="15" xfId="0" applyBorder="1" applyAlignment="1">
      <alignment wrapText="1"/>
    </xf>
    <xf numFmtId="0" fontId="0" fillId="0" borderId="0" xfId="0" applyAlignment="1">
      <alignment wrapText="1"/>
    </xf>
    <xf numFmtId="164" fontId="8" fillId="4" borderId="0" xfId="4" applyNumberFormat="1" applyFont="1" applyFill="1" applyBorder="1" applyAlignment="1">
      <alignment horizontal="center" vertical="center" wrapText="1"/>
    </xf>
    <xf numFmtId="164" fontId="8" fillId="4" borderId="12" xfId="4" applyNumberFormat="1" applyFont="1" applyFill="1" applyBorder="1" applyAlignment="1">
      <alignment horizontal="center" vertical="center" wrapText="1"/>
    </xf>
    <xf numFmtId="164" fontId="8" fillId="4" borderId="11" xfId="4" applyNumberFormat="1" applyFont="1" applyFill="1" applyBorder="1" applyAlignment="1">
      <alignment horizontal="center" vertical="center" wrapText="1"/>
    </xf>
    <xf numFmtId="0" fontId="8" fillId="4" borderId="10" xfId="0" applyFont="1" applyFill="1" applyBorder="1" applyAlignment="1">
      <alignment horizontal="center" vertical="center" wrapText="1"/>
    </xf>
    <xf numFmtId="10" fontId="0" fillId="8" borderId="15" xfId="1" applyNumberFormat="1" applyFont="1" applyFill="1" applyBorder="1" applyAlignment="1">
      <alignment horizontal="center" vertical="center"/>
    </xf>
    <xf numFmtId="165" fontId="0" fillId="8" borderId="15" xfId="2" applyNumberFormat="1" applyFont="1" applyFill="1" applyBorder="1"/>
    <xf numFmtId="0" fontId="0" fillId="8" borderId="15" xfId="0" applyFill="1" applyBorder="1" applyAlignment="1">
      <alignment wrapText="1"/>
    </xf>
    <xf numFmtId="164" fontId="8" fillId="4" borderId="25" xfId="4" applyNumberFormat="1" applyFont="1" applyFill="1" applyBorder="1" applyAlignment="1">
      <alignment horizontal="center" vertical="center" wrapText="1"/>
    </xf>
    <xf numFmtId="9" fontId="0" fillId="8" borderId="15" xfId="1" applyFont="1" applyFill="1" applyBorder="1"/>
    <xf numFmtId="164" fontId="0" fillId="8" borderId="15" xfId="4" applyNumberFormat="1" applyFont="1" applyFill="1" applyBorder="1"/>
    <xf numFmtId="9" fontId="0" fillId="0" borderId="15" xfId="1" applyFont="1" applyBorder="1"/>
    <xf numFmtId="164" fontId="0" fillId="0" borderId="15" xfId="4" applyNumberFormat="1" applyFont="1" applyBorder="1"/>
    <xf numFmtId="0" fontId="0" fillId="0" borderId="15" xfId="0" applyBorder="1"/>
    <xf numFmtId="0" fontId="24" fillId="4" borderId="7" xfId="0" applyFont="1" applyFill="1" applyBorder="1" applyAlignment="1">
      <alignment horizontal="center" vertical="center" wrapText="1"/>
    </xf>
    <xf numFmtId="10" fontId="0" fillId="11" borderId="15" xfId="0" applyNumberFormat="1" applyFill="1" applyBorder="1"/>
    <xf numFmtId="0" fontId="3" fillId="0" borderId="15" xfId="0" applyFont="1" applyBorder="1" applyAlignment="1">
      <alignment wrapText="1"/>
    </xf>
    <xf numFmtId="164" fontId="0" fillId="12" borderId="15" xfId="4" applyNumberFormat="1" applyFont="1" applyFill="1" applyBorder="1" applyAlignment="1">
      <alignment wrapText="1"/>
    </xf>
    <xf numFmtId="0" fontId="0" fillId="12" borderId="0" xfId="0" applyFill="1"/>
    <xf numFmtId="0" fontId="0" fillId="10" borderId="15" xfId="0" applyFill="1" applyBorder="1" applyAlignment="1">
      <alignment wrapText="1"/>
    </xf>
    <xf numFmtId="0" fontId="0" fillId="13" borderId="0" xfId="0" applyFill="1"/>
    <xf numFmtId="0" fontId="26" fillId="13" borderId="15" xfId="0" applyFont="1" applyFill="1" applyBorder="1" applyAlignment="1">
      <alignment wrapText="1"/>
    </xf>
    <xf numFmtId="164" fontId="8" fillId="0" borderId="0" xfId="4" applyNumberFormat="1" applyFont="1" applyFill="1" applyBorder="1" applyAlignment="1">
      <alignment horizontal="center" vertical="center" wrapText="1"/>
    </xf>
    <xf numFmtId="3" fontId="0" fillId="0" borderId="15" xfId="0" applyNumberFormat="1" applyBorder="1"/>
    <xf numFmtId="10" fontId="0" fillId="0" borderId="15" xfId="0" applyNumberFormat="1" applyBorder="1"/>
    <xf numFmtId="3" fontId="0" fillId="12" borderId="15" xfId="0" applyNumberFormat="1" applyFill="1" applyBorder="1" applyAlignment="1">
      <alignment wrapText="1"/>
    </xf>
    <xf numFmtId="3" fontId="11" fillId="14" borderId="15" xfId="0" applyNumberFormat="1" applyFont="1" applyFill="1" applyBorder="1" applyAlignment="1">
      <alignment wrapText="1"/>
    </xf>
    <xf numFmtId="0" fontId="0" fillId="14" borderId="0" xfId="0" applyFill="1"/>
    <xf numFmtId="3" fontId="0" fillId="14" borderId="15" xfId="0" applyNumberFormat="1" applyFill="1" applyBorder="1" applyAlignment="1">
      <alignment wrapText="1"/>
    </xf>
    <xf numFmtId="0" fontId="11" fillId="11" borderId="15" xfId="0" applyFont="1" applyFill="1" applyBorder="1" applyAlignment="1">
      <alignment wrapText="1"/>
    </xf>
    <xf numFmtId="0" fontId="11" fillId="11" borderId="15" xfId="0" applyFont="1" applyFill="1" applyBorder="1"/>
    <xf numFmtId="9" fontId="0" fillId="0" borderId="15" xfId="1" applyFont="1" applyBorder="1" applyAlignment="1">
      <alignment wrapText="1"/>
    </xf>
    <xf numFmtId="9" fontId="0" fillId="0" borderId="15" xfId="0" applyNumberFormat="1" applyBorder="1"/>
    <xf numFmtId="164" fontId="0" fillId="0" borderId="0" xfId="0" applyNumberFormat="1"/>
    <xf numFmtId="0" fontId="3" fillId="0" borderId="0" xfId="0" applyFont="1"/>
    <xf numFmtId="0" fontId="3" fillId="0" borderId="44" xfId="0" applyFont="1" applyBorder="1" applyAlignment="1">
      <alignment horizontal="center" wrapText="1"/>
    </xf>
    <xf numFmtId="0" fontId="3" fillId="0" borderId="38" xfId="0" applyFont="1" applyBorder="1" applyAlignment="1">
      <alignment horizontal="center" wrapText="1"/>
    </xf>
    <xf numFmtId="0" fontId="3" fillId="0" borderId="1" xfId="0" applyFont="1" applyBorder="1" applyAlignment="1">
      <alignment horizontal="center" wrapText="1"/>
    </xf>
    <xf numFmtId="0" fontId="3" fillId="15" borderId="0" xfId="0" applyFont="1" applyFill="1"/>
    <xf numFmtId="0" fontId="0" fillId="15" borderId="0" xfId="0" applyFill="1"/>
    <xf numFmtId="0" fontId="0" fillId="15" borderId="52" xfId="0" applyFill="1" applyBorder="1"/>
    <xf numFmtId="0" fontId="0" fillId="15" borderId="72" xfId="0" applyFill="1" applyBorder="1"/>
    <xf numFmtId="0" fontId="0" fillId="0" borderId="52" xfId="0" applyBorder="1"/>
    <xf numFmtId="0" fontId="0" fillId="0" borderId="72" xfId="0" applyBorder="1"/>
    <xf numFmtId="0" fontId="3" fillId="0" borderId="21" xfId="0" applyFont="1" applyBorder="1"/>
    <xf numFmtId="0" fontId="3" fillId="0" borderId="22" xfId="0" applyFont="1" applyBorder="1"/>
    <xf numFmtId="0" fontId="0" fillId="0" borderId="59" xfId="0" applyBorder="1"/>
    <xf numFmtId="0" fontId="3" fillId="0" borderId="72" xfId="0" applyFont="1" applyBorder="1"/>
    <xf numFmtId="0" fontId="3" fillId="0" borderId="70" xfId="0" applyFont="1" applyBorder="1"/>
    <xf numFmtId="0" fontId="31" fillId="0" borderId="0" xfId="10" applyFont="1"/>
    <xf numFmtId="0" fontId="32" fillId="0" borderId="0" xfId="10" applyFont="1"/>
    <xf numFmtId="0" fontId="30" fillId="0" borderId="0" xfId="0" applyFont="1"/>
    <xf numFmtId="164" fontId="8" fillId="4" borderId="0" xfId="4" applyNumberFormat="1" applyFont="1" applyFill="1" applyAlignment="1">
      <alignment horizontal="center" vertical="center" wrapText="1"/>
    </xf>
    <xf numFmtId="164" fontId="0" fillId="0" borderId="15" xfId="0" applyNumberFormat="1" applyBorder="1"/>
    <xf numFmtId="164" fontId="0" fillId="10" borderId="15" xfId="4" applyNumberFormat="1" applyFont="1" applyFill="1" applyBorder="1"/>
    <xf numFmtId="0" fontId="8" fillId="0" borderId="0" xfId="0" applyFont="1" applyAlignment="1">
      <alignment horizontal="center" vertical="center" wrapText="1"/>
    </xf>
    <xf numFmtId="164" fontId="8" fillId="0" borderId="0" xfId="4" applyNumberFormat="1" applyFont="1" applyAlignment="1">
      <alignment horizontal="center" vertical="center" wrapText="1"/>
    </xf>
    <xf numFmtId="10" fontId="0" fillId="0" borderId="0" xfId="1" applyNumberFormat="1" applyFont="1" applyAlignment="1">
      <alignment horizontal="center" vertical="center"/>
    </xf>
    <xf numFmtId="0" fontId="33" fillId="0" borderId="0" xfId="10" applyFont="1"/>
    <xf numFmtId="164" fontId="3" fillId="0" borderId="0" xfId="4" quotePrefix="1" applyNumberFormat="1" applyFont="1" applyFill="1" applyBorder="1" applyAlignment="1"/>
    <xf numFmtId="0" fontId="31" fillId="0" borderId="0" xfId="10"/>
    <xf numFmtId="165" fontId="0" fillId="0" borderId="0" xfId="0" applyNumberFormat="1"/>
    <xf numFmtId="164" fontId="3" fillId="0" borderId="0" xfId="4" applyNumberFormat="1" applyFont="1" applyFill="1" applyBorder="1"/>
    <xf numFmtId="0" fontId="34" fillId="0" borderId="0" xfId="0" applyFont="1"/>
    <xf numFmtId="0" fontId="35" fillId="0" borderId="0" xfId="0" applyFont="1"/>
    <xf numFmtId="165" fontId="3" fillId="0" borderId="0" xfId="2" applyNumberFormat="1" applyFont="1" applyFill="1" applyBorder="1"/>
    <xf numFmtId="165" fontId="34" fillId="0" borderId="0" xfId="2" applyNumberFormat="1" applyFont="1" applyFill="1" applyBorder="1" applyAlignment="1"/>
    <xf numFmtId="164" fontId="17" fillId="0" borderId="15" xfId="4" applyNumberFormat="1" applyFont="1" applyFill="1" applyBorder="1" applyAlignment="1">
      <alignment horizontal="center"/>
    </xf>
    <xf numFmtId="0" fontId="39" fillId="4" borderId="32" xfId="0" applyFont="1" applyFill="1" applyBorder="1" applyAlignment="1">
      <alignment horizontal="center" vertical="center" wrapText="1"/>
    </xf>
    <xf numFmtId="0" fontId="39" fillId="7" borderId="31" xfId="0" applyFont="1" applyFill="1" applyBorder="1" applyAlignment="1">
      <alignment horizontal="center" vertical="center" wrapText="1"/>
    </xf>
    <xf numFmtId="0" fontId="39" fillId="7" borderId="67" xfId="0" applyFont="1" applyFill="1" applyBorder="1" applyAlignment="1">
      <alignment horizontal="center" vertical="center" wrapText="1"/>
    </xf>
    <xf numFmtId="0" fontId="39" fillId="4" borderId="31" xfId="0" applyFont="1" applyFill="1" applyBorder="1" applyAlignment="1">
      <alignment horizontal="center" vertical="center" wrapText="1"/>
    </xf>
    <xf numFmtId="0" fontId="18" fillId="0" borderId="2" xfId="0" applyFont="1" applyBorder="1" applyAlignment="1">
      <alignment horizontal="left" vertical="center" wrapText="1"/>
    </xf>
    <xf numFmtId="0" fontId="18" fillId="0" borderId="43" xfId="0" applyFont="1" applyBorder="1" applyAlignment="1">
      <alignment vertical="center" wrapText="1"/>
    </xf>
    <xf numFmtId="0" fontId="18" fillId="0" borderId="43" xfId="0" applyFont="1" applyBorder="1"/>
    <xf numFmtId="0" fontId="18" fillId="0" borderId="69" xfId="0" applyFont="1" applyBorder="1" applyAlignment="1">
      <alignment horizontal="left" vertical="center" wrapText="1"/>
    </xf>
    <xf numFmtId="0" fontId="18" fillId="0" borderId="73" xfId="0" applyFont="1" applyBorder="1" applyAlignment="1">
      <alignment horizontal="left" vertical="center" wrapText="1"/>
    </xf>
    <xf numFmtId="0" fontId="18" fillId="0" borderId="42" xfId="0" applyFont="1" applyBorder="1" applyAlignment="1">
      <alignment horizontal="left" vertical="center" wrapText="1"/>
    </xf>
    <xf numFmtId="164" fontId="18" fillId="0" borderId="31" xfId="4" applyNumberFormat="1" applyFont="1" applyFill="1" applyBorder="1" applyAlignment="1">
      <alignment horizontal="center" vertical="center"/>
    </xf>
    <xf numFmtId="0" fontId="18" fillId="4" borderId="42" xfId="0" applyFont="1" applyFill="1" applyBorder="1" applyAlignment="1">
      <alignment vertical="center" wrapText="1"/>
    </xf>
    <xf numFmtId="0" fontId="18" fillId="4" borderId="31" xfId="0" applyFont="1" applyFill="1" applyBorder="1" applyAlignment="1">
      <alignment vertical="center" wrapText="1"/>
    </xf>
    <xf numFmtId="0" fontId="18" fillId="4" borderId="67" xfId="0" applyFont="1" applyFill="1" applyBorder="1" applyAlignment="1">
      <alignment vertical="center" wrapText="1"/>
    </xf>
    <xf numFmtId="44" fontId="18" fillId="4" borderId="31" xfId="2" applyFont="1" applyFill="1" applyBorder="1" applyAlignment="1">
      <alignment vertical="center" wrapText="1"/>
    </xf>
    <xf numFmtId="44" fontId="18" fillId="4" borderId="67" xfId="2" applyFont="1" applyFill="1" applyBorder="1" applyAlignment="1">
      <alignment vertical="center" wrapText="1"/>
    </xf>
    <xf numFmtId="0" fontId="18" fillId="6" borderId="69" xfId="0" applyFont="1" applyFill="1" applyBorder="1" applyAlignment="1">
      <alignment horizontal="left" vertical="center" wrapText="1"/>
    </xf>
    <xf numFmtId="0" fontId="18" fillId="6" borderId="73" xfId="0" applyFont="1" applyFill="1" applyBorder="1" applyAlignment="1">
      <alignment horizontal="left" vertical="center" wrapText="1"/>
    </xf>
    <xf numFmtId="0" fontId="18" fillId="4" borderId="3" xfId="0" applyFont="1" applyFill="1" applyBorder="1" applyAlignment="1">
      <alignment vertical="center" wrapText="1"/>
    </xf>
    <xf numFmtId="0" fontId="18" fillId="4" borderId="13" xfId="0" applyFont="1" applyFill="1" applyBorder="1" applyAlignment="1">
      <alignment vertical="center" wrapText="1"/>
    </xf>
    <xf numFmtId="0" fontId="18" fillId="4" borderId="3" xfId="0" applyFont="1" applyFill="1" applyBorder="1" applyAlignment="1">
      <alignment horizontal="center" vertical="center" wrapText="1"/>
    </xf>
    <xf numFmtId="0" fontId="18" fillId="4" borderId="28" xfId="0" applyFont="1" applyFill="1" applyBorder="1" applyAlignment="1">
      <alignment horizontal="center" vertical="center" wrapText="1"/>
    </xf>
    <xf numFmtId="44" fontId="18" fillId="4" borderId="3" xfId="2" applyFont="1" applyFill="1" applyBorder="1" applyAlignment="1">
      <alignment horizontal="center" vertical="center" wrapText="1"/>
    </xf>
    <xf numFmtId="44" fontId="18" fillId="4" borderId="14" xfId="2" applyFont="1" applyFill="1" applyBorder="1" applyAlignment="1">
      <alignment horizontal="center" vertical="center" wrapText="1"/>
    </xf>
    <xf numFmtId="0" fontId="18" fillId="0" borderId="17" xfId="0" applyFont="1" applyBorder="1"/>
    <xf numFmtId="0" fontId="18" fillId="0" borderId="18" xfId="0" applyFont="1" applyBorder="1"/>
    <xf numFmtId="0" fontId="18" fillId="0" borderId="17" xfId="0" applyFont="1" applyBorder="1" applyAlignment="1">
      <alignment horizontal="center" vertical="center"/>
    </xf>
    <xf numFmtId="0" fontId="18" fillId="0" borderId="68" xfId="0" applyFont="1" applyBorder="1" applyAlignment="1">
      <alignment horizontal="center" vertical="center"/>
    </xf>
    <xf numFmtId="44" fontId="18" fillId="0" borderId="17" xfId="2" applyFont="1" applyBorder="1" applyAlignment="1">
      <alignment horizontal="center" vertical="center"/>
    </xf>
    <xf numFmtId="44" fontId="18" fillId="0" borderId="19" xfId="2" applyFont="1" applyBorder="1" applyAlignment="1">
      <alignment horizontal="center" vertical="center"/>
    </xf>
    <xf numFmtId="170" fontId="18" fillId="4" borderId="31" xfId="0" applyNumberFormat="1" applyFont="1" applyFill="1" applyBorder="1" applyAlignment="1">
      <alignment vertical="center" wrapText="1"/>
    </xf>
    <xf numFmtId="170" fontId="18" fillId="4" borderId="67" xfId="0" applyNumberFormat="1" applyFont="1" applyFill="1" applyBorder="1" applyAlignment="1">
      <alignment vertical="center" wrapText="1"/>
    </xf>
    <xf numFmtId="170" fontId="18" fillId="0" borderId="17" xfId="0" applyNumberFormat="1" applyFont="1" applyBorder="1" applyAlignment="1">
      <alignment horizontal="center" vertical="center"/>
    </xf>
    <xf numFmtId="170" fontId="18" fillId="4" borderId="3" xfId="0" applyNumberFormat="1" applyFont="1" applyFill="1" applyBorder="1" applyAlignment="1">
      <alignment horizontal="center" vertical="center" wrapText="1"/>
    </xf>
    <xf numFmtId="170" fontId="18" fillId="4" borderId="14" xfId="0" applyNumberFormat="1" applyFont="1" applyFill="1" applyBorder="1" applyAlignment="1">
      <alignment horizontal="center" vertical="center" wrapText="1"/>
    </xf>
    <xf numFmtId="170" fontId="18" fillId="0" borderId="19" xfId="4" applyNumberFormat="1" applyFont="1" applyFill="1" applyBorder="1" applyAlignment="1">
      <alignment horizontal="center" vertical="center"/>
    </xf>
    <xf numFmtId="0" fontId="14" fillId="0" borderId="13" xfId="0" applyFont="1" applyBorder="1" applyAlignment="1">
      <alignment horizontal="center"/>
    </xf>
    <xf numFmtId="10" fontId="14" fillId="0" borderId="14" xfId="0" applyNumberFormat="1" applyFont="1" applyBorder="1" applyAlignment="1">
      <alignment horizontal="center"/>
    </xf>
    <xf numFmtId="3" fontId="14" fillId="0" borderId="18" xfId="0" applyNumberFormat="1" applyFont="1" applyBorder="1" applyAlignment="1">
      <alignment horizontal="center"/>
    </xf>
    <xf numFmtId="10" fontId="14" fillId="0" borderId="19" xfId="0" applyNumberFormat="1" applyFont="1" applyBorder="1" applyAlignment="1">
      <alignment horizontal="center"/>
    </xf>
    <xf numFmtId="0" fontId="14" fillId="0" borderId="18" xfId="0" applyFont="1" applyBorder="1" applyAlignment="1">
      <alignment horizontal="center"/>
    </xf>
    <xf numFmtId="0" fontId="14" fillId="0" borderId="19" xfId="0" applyFont="1" applyBorder="1" applyAlignment="1">
      <alignment horizontal="center"/>
    </xf>
    <xf numFmtId="3" fontId="14" fillId="0" borderId="15" xfId="0" applyNumberFormat="1" applyFont="1" applyBorder="1" applyAlignment="1">
      <alignment horizontal="center"/>
    </xf>
    <xf numFmtId="3" fontId="14" fillId="0" borderId="5" xfId="0" applyNumberFormat="1" applyFont="1" applyBorder="1" applyAlignment="1">
      <alignment horizontal="center"/>
    </xf>
    <xf numFmtId="10" fontId="14" fillId="0" borderId="57" xfId="0" applyNumberFormat="1" applyFont="1" applyBorder="1" applyAlignment="1">
      <alignment horizontal="center"/>
    </xf>
    <xf numFmtId="168" fontId="0" fillId="0" borderId="22" xfId="1" applyNumberFormat="1" applyFont="1" applyFill="1" applyBorder="1" applyAlignment="1">
      <alignment horizontal="center" vertical="center"/>
    </xf>
    <xf numFmtId="168" fontId="0" fillId="0" borderId="56" xfId="1" applyNumberFormat="1" applyFont="1" applyFill="1" applyBorder="1" applyAlignment="1">
      <alignment horizontal="center" vertical="center"/>
    </xf>
    <xf numFmtId="168" fontId="0" fillId="0" borderId="67" xfId="1" applyNumberFormat="1" applyFont="1" applyFill="1" applyBorder="1" applyAlignment="1">
      <alignment horizontal="center" vertical="center"/>
    </xf>
    <xf numFmtId="168" fontId="0" fillId="0" borderId="63" xfId="1" applyNumberFormat="1" applyFont="1" applyFill="1" applyBorder="1" applyAlignment="1">
      <alignment horizontal="center" vertical="center"/>
    </xf>
    <xf numFmtId="165" fontId="0" fillId="0" borderId="13" xfId="0" applyNumberFormat="1" applyBorder="1" applyAlignment="1">
      <alignment horizontal="center" vertical="center"/>
    </xf>
    <xf numFmtId="165" fontId="0" fillId="0" borderId="15" xfId="0" applyNumberFormat="1" applyBorder="1" applyAlignment="1">
      <alignment horizontal="center" vertical="center"/>
    </xf>
    <xf numFmtId="168" fontId="0" fillId="0" borderId="19" xfId="1" applyNumberFormat="1" applyFont="1" applyFill="1" applyBorder="1" applyAlignment="1">
      <alignment horizontal="center" vertical="center"/>
    </xf>
    <xf numFmtId="168" fontId="0" fillId="0" borderId="6" xfId="1" applyNumberFormat="1" applyFont="1" applyFill="1" applyBorder="1" applyAlignment="1">
      <alignment horizontal="center" vertical="center"/>
    </xf>
    <xf numFmtId="0" fontId="21" fillId="0" borderId="6" xfId="0" applyFont="1" applyBorder="1" applyAlignment="1">
      <alignment horizontal="center" vertical="center"/>
    </xf>
    <xf numFmtId="0" fontId="41" fillId="7" borderId="38" xfId="0" applyFont="1" applyFill="1" applyBorder="1" applyAlignment="1">
      <alignment horizontal="center" vertical="center" wrapText="1"/>
    </xf>
    <xf numFmtId="0" fontId="41" fillId="7" borderId="52" xfId="0" applyFont="1" applyFill="1" applyBorder="1" applyAlignment="1">
      <alignment horizontal="center" vertical="center" wrapText="1"/>
    </xf>
    <xf numFmtId="0" fontId="41" fillId="7" borderId="0" xfId="0" applyFont="1" applyFill="1" applyAlignment="1">
      <alignment horizontal="center" vertical="center" wrapText="1"/>
    </xf>
    <xf numFmtId="0" fontId="41" fillId="4" borderId="31" xfId="0" applyFont="1" applyFill="1" applyBorder="1" applyAlignment="1">
      <alignment horizontal="center" vertical="center" wrapText="1"/>
    </xf>
    <xf numFmtId="0" fontId="42" fillId="4" borderId="67" xfId="0" applyFont="1" applyFill="1" applyBorder="1" applyAlignment="1">
      <alignment horizontal="center" vertical="center" wrapText="1"/>
    </xf>
    <xf numFmtId="0" fontId="42" fillId="7" borderId="31" xfId="0" applyFont="1" applyFill="1" applyBorder="1" applyAlignment="1">
      <alignment horizontal="center" vertical="center" wrapText="1"/>
    </xf>
    <xf numFmtId="0" fontId="42" fillId="7" borderId="67" xfId="0" applyFont="1" applyFill="1" applyBorder="1" applyAlignment="1">
      <alignment horizontal="center" vertical="center" wrapText="1"/>
    </xf>
    <xf numFmtId="0" fontId="42" fillId="4" borderId="31" xfId="0" applyFont="1" applyFill="1" applyBorder="1" applyAlignment="1">
      <alignment horizontal="center" vertical="center" wrapText="1"/>
    </xf>
    <xf numFmtId="0" fontId="41" fillId="7" borderId="45" xfId="0" applyFont="1" applyFill="1" applyBorder="1" applyAlignment="1">
      <alignment horizontal="center" vertical="center" wrapText="1"/>
    </xf>
    <xf numFmtId="0" fontId="41" fillId="7" borderId="39" xfId="0" applyFont="1" applyFill="1" applyBorder="1" applyAlignment="1">
      <alignment horizontal="center" vertical="center" wrapText="1"/>
    </xf>
    <xf numFmtId="0" fontId="37" fillId="5" borderId="48" xfId="0" applyFont="1" applyFill="1" applyBorder="1"/>
    <xf numFmtId="0" fontId="37" fillId="5" borderId="44" xfId="0" applyFont="1" applyFill="1" applyBorder="1"/>
    <xf numFmtId="0" fontId="37" fillId="5" borderId="44" xfId="0" applyFont="1" applyFill="1" applyBorder="1" applyAlignment="1">
      <alignment horizontal="center" vertical="center" wrapText="1"/>
    </xf>
    <xf numFmtId="0" fontId="37" fillId="5" borderId="58" xfId="0" applyFont="1" applyFill="1" applyBorder="1" applyAlignment="1">
      <alignment horizontal="center" vertical="center" wrapText="1"/>
    </xf>
    <xf numFmtId="0" fontId="21" fillId="0" borderId="41" xfId="0" applyFont="1" applyBorder="1" applyAlignment="1">
      <alignment horizontal="left" vertical="center" wrapText="1"/>
    </xf>
    <xf numFmtId="0" fontId="21" fillId="0" borderId="2" xfId="0" applyFont="1" applyBorder="1" applyAlignment="1">
      <alignment horizontal="left" vertical="center" wrapText="1"/>
    </xf>
    <xf numFmtId="0" fontId="21" fillId="0" borderId="43" xfId="0" applyFont="1" applyBorder="1" applyAlignment="1">
      <alignment horizontal="left" vertical="center" wrapText="1"/>
    </xf>
    <xf numFmtId="0" fontId="21" fillId="0" borderId="9" xfId="0" applyFont="1" applyBorder="1" applyAlignment="1">
      <alignment vertical="center" wrapText="1"/>
    </xf>
    <xf numFmtId="0" fontId="37" fillId="5" borderId="60" xfId="0" applyFont="1" applyFill="1" applyBorder="1"/>
    <xf numFmtId="0" fontId="37" fillId="5" borderId="74" xfId="0" applyFont="1" applyFill="1" applyBorder="1"/>
    <xf numFmtId="0" fontId="21" fillId="4" borderId="40" xfId="0" applyFont="1" applyFill="1" applyBorder="1" applyAlignment="1">
      <alignment vertical="center" wrapText="1"/>
    </xf>
    <xf numFmtId="0" fontId="21" fillId="4" borderId="75" xfId="0" applyFont="1" applyFill="1" applyBorder="1" applyAlignment="1">
      <alignment vertical="center" wrapText="1"/>
    </xf>
    <xf numFmtId="164" fontId="21" fillId="4" borderId="40" xfId="4" applyNumberFormat="1" applyFont="1" applyFill="1" applyBorder="1" applyAlignment="1">
      <alignment vertical="center" wrapText="1"/>
    </xf>
    <xf numFmtId="164" fontId="21" fillId="4" borderId="58" xfId="4" applyNumberFormat="1" applyFont="1" applyFill="1" applyBorder="1" applyAlignment="1">
      <alignment vertical="center" wrapText="1"/>
    </xf>
    <xf numFmtId="165" fontId="21" fillId="4" borderId="40" xfId="2" applyNumberFormat="1" applyFont="1" applyFill="1" applyBorder="1" applyAlignment="1">
      <alignment vertical="center" wrapText="1"/>
    </xf>
    <xf numFmtId="165" fontId="21" fillId="4" borderId="58" xfId="2" applyNumberFormat="1" applyFont="1" applyFill="1" applyBorder="1" applyAlignment="1">
      <alignment vertical="center" wrapText="1"/>
    </xf>
    <xf numFmtId="0" fontId="37" fillId="5" borderId="10" xfId="0" applyFont="1" applyFill="1" applyBorder="1"/>
    <xf numFmtId="0" fontId="37" fillId="5" borderId="71" xfId="0" applyFont="1" applyFill="1" applyBorder="1"/>
    <xf numFmtId="164" fontId="37" fillId="5" borderId="10" xfId="4" applyNumberFormat="1" applyFont="1" applyFill="1" applyBorder="1"/>
    <xf numFmtId="165" fontId="37" fillId="5" borderId="10" xfId="2" applyNumberFormat="1" applyFont="1" applyFill="1" applyBorder="1"/>
    <xf numFmtId="165" fontId="37" fillId="5" borderId="12" xfId="2" applyNumberFormat="1" applyFont="1" applyFill="1" applyBorder="1"/>
    <xf numFmtId="164" fontId="37" fillId="5" borderId="12" xfId="4" applyNumberFormat="1" applyFont="1" applyFill="1" applyBorder="1" applyAlignment="1"/>
    <xf numFmtId="0" fontId="21" fillId="0" borderId="31" xfId="0" applyFont="1" applyBorder="1"/>
    <xf numFmtId="0" fontId="21" fillId="0" borderId="32" xfId="0" applyFont="1" applyBorder="1"/>
    <xf numFmtId="0" fontId="21" fillId="4" borderId="3" xfId="0" applyFont="1" applyFill="1" applyBorder="1" applyAlignment="1">
      <alignment vertical="center" wrapText="1"/>
    </xf>
    <xf numFmtId="0" fontId="21" fillId="4" borderId="28" xfId="0" applyFont="1" applyFill="1" applyBorder="1" applyAlignment="1">
      <alignment vertical="center" wrapText="1"/>
    </xf>
    <xf numFmtId="164" fontId="21" fillId="4" borderId="3" xfId="4" applyNumberFormat="1" applyFont="1" applyFill="1" applyBorder="1" applyAlignment="1">
      <alignment vertical="center" wrapText="1"/>
    </xf>
    <xf numFmtId="164" fontId="21" fillId="4" borderId="14" xfId="4" applyNumberFormat="1" applyFont="1" applyFill="1" applyBorder="1" applyAlignment="1">
      <alignment vertical="center" wrapText="1"/>
    </xf>
    <xf numFmtId="165" fontId="21" fillId="4" borderId="3" xfId="2" applyNumberFormat="1" applyFont="1" applyFill="1" applyBorder="1" applyAlignment="1">
      <alignment vertical="center" wrapText="1"/>
    </xf>
    <xf numFmtId="165" fontId="21" fillId="4" borderId="14" xfId="2" applyNumberFormat="1" applyFont="1" applyFill="1" applyBorder="1" applyAlignment="1">
      <alignment vertical="center" wrapText="1"/>
    </xf>
    <xf numFmtId="0" fontId="37" fillId="5" borderId="7" xfId="0" applyFont="1" applyFill="1" applyBorder="1"/>
    <xf numFmtId="0" fontId="37" fillId="5" borderId="30" xfId="0" applyFont="1" applyFill="1" applyBorder="1"/>
    <xf numFmtId="0" fontId="37" fillId="5" borderId="60" xfId="0" applyFont="1" applyFill="1" applyBorder="1" applyAlignment="1">
      <alignment horizontal="center"/>
    </xf>
    <xf numFmtId="0" fontId="37" fillId="5" borderId="57" xfId="0" applyFont="1" applyFill="1" applyBorder="1" applyAlignment="1">
      <alignment horizontal="center"/>
    </xf>
    <xf numFmtId="165" fontId="37" fillId="5" borderId="60" xfId="2" applyNumberFormat="1" applyFont="1" applyFill="1" applyBorder="1" applyAlignment="1">
      <alignment horizontal="center"/>
    </xf>
    <xf numFmtId="165" fontId="37" fillId="5" borderId="57" xfId="2" applyNumberFormat="1" applyFont="1" applyFill="1" applyBorder="1" applyAlignment="1">
      <alignment horizontal="center"/>
    </xf>
    <xf numFmtId="164" fontId="37" fillId="5" borderId="60" xfId="4" applyNumberFormat="1" applyFont="1" applyFill="1" applyBorder="1" applyAlignment="1">
      <alignment horizontal="center"/>
    </xf>
    <xf numFmtId="164" fontId="37" fillId="5" borderId="57" xfId="4" applyNumberFormat="1" applyFont="1" applyFill="1" applyBorder="1" applyAlignment="1">
      <alignment horizontal="center"/>
    </xf>
    <xf numFmtId="0" fontId="21" fillId="4" borderId="58" xfId="0" applyFont="1" applyFill="1" applyBorder="1" applyAlignment="1">
      <alignment vertical="center" wrapText="1"/>
    </xf>
    <xf numFmtId="0" fontId="37" fillId="5" borderId="12" xfId="0" applyFont="1" applyFill="1" applyBorder="1"/>
    <xf numFmtId="0" fontId="21" fillId="0" borderId="31" xfId="0" applyFont="1" applyBorder="1" applyAlignment="1">
      <alignment horizontal="center"/>
    </xf>
    <xf numFmtId="0" fontId="21" fillId="0" borderId="67" xfId="0" applyFont="1" applyBorder="1" applyAlignment="1">
      <alignment horizontal="center"/>
    </xf>
    <xf numFmtId="165" fontId="21" fillId="0" borderId="31" xfId="2" applyNumberFormat="1" applyFont="1" applyBorder="1" applyAlignment="1">
      <alignment horizontal="center"/>
    </xf>
    <xf numFmtId="165" fontId="21" fillId="0" borderId="67" xfId="2" applyNumberFormat="1" applyFont="1" applyBorder="1" applyAlignment="1">
      <alignment horizontal="center"/>
    </xf>
    <xf numFmtId="164" fontId="21" fillId="0" borderId="67" xfId="4" applyNumberFormat="1" applyFont="1" applyFill="1" applyBorder="1" applyAlignment="1">
      <alignment horizontal="center"/>
    </xf>
    <xf numFmtId="164" fontId="21" fillId="0" borderId="31" xfId="4" applyNumberFormat="1" applyFont="1" applyBorder="1" applyAlignment="1">
      <alignment horizontal="center"/>
    </xf>
    <xf numFmtId="0" fontId="21" fillId="4" borderId="14" xfId="0" applyFont="1" applyFill="1" applyBorder="1" applyAlignment="1">
      <alignment vertical="center" wrapText="1"/>
    </xf>
    <xf numFmtId="0" fontId="37" fillId="5" borderId="7" xfId="0" applyFont="1" applyFill="1" applyBorder="1" applyAlignment="1">
      <alignment horizontal="center"/>
    </xf>
    <xf numFmtId="0" fontId="37" fillId="5" borderId="6" xfId="0" applyFont="1" applyFill="1" applyBorder="1" applyAlignment="1">
      <alignment horizontal="center"/>
    </xf>
    <xf numFmtId="165" fontId="37" fillId="5" borderId="7" xfId="2" applyNumberFormat="1" applyFont="1" applyFill="1" applyBorder="1" applyAlignment="1">
      <alignment horizontal="center"/>
    </xf>
    <xf numFmtId="165" fontId="37" fillId="5" borderId="6" xfId="2" applyNumberFormat="1" applyFont="1" applyFill="1" applyBorder="1" applyAlignment="1">
      <alignment horizontal="center"/>
    </xf>
    <xf numFmtId="164" fontId="37" fillId="5" borderId="7" xfId="4" applyNumberFormat="1" applyFont="1" applyFill="1" applyBorder="1" applyAlignment="1">
      <alignment horizontal="center"/>
    </xf>
    <xf numFmtId="164" fontId="37" fillId="5" borderId="74" xfId="4" applyNumberFormat="1" applyFont="1" applyFill="1" applyBorder="1" applyAlignment="1"/>
    <xf numFmtId="164" fontId="37" fillId="11" borderId="60" xfId="4" applyNumberFormat="1" applyFont="1" applyFill="1" applyBorder="1" applyAlignment="1"/>
    <xf numFmtId="164" fontId="37" fillId="11" borderId="57" xfId="4" applyNumberFormat="1" applyFont="1" applyFill="1" applyBorder="1" applyAlignment="1"/>
    <xf numFmtId="0" fontId="18" fillId="0" borderId="0" xfId="0" applyFont="1"/>
    <xf numFmtId="165" fontId="18" fillId="0" borderId="0" xfId="2" applyNumberFormat="1" applyFont="1"/>
    <xf numFmtId="164" fontId="18" fillId="0" borderId="0" xfId="4" applyNumberFormat="1" applyFont="1"/>
    <xf numFmtId="0" fontId="42" fillId="4" borderId="32" xfId="0" applyFont="1" applyFill="1" applyBorder="1" applyAlignment="1">
      <alignment horizontal="center" vertical="center" wrapText="1"/>
    </xf>
    <xf numFmtId="0" fontId="42" fillId="4" borderId="62" xfId="0" applyFont="1" applyFill="1" applyBorder="1" applyAlignment="1">
      <alignment horizontal="center" vertical="center" wrapText="1"/>
    </xf>
    <xf numFmtId="43" fontId="31" fillId="0" borderId="0" xfId="4" applyFont="1" applyAlignment="1">
      <alignment horizontal="center"/>
    </xf>
    <xf numFmtId="165" fontId="20" fillId="0" borderId="0" xfId="8" applyNumberFormat="1" applyFill="1" applyBorder="1" applyAlignment="1">
      <alignment horizontal="left"/>
    </xf>
    <xf numFmtId="165" fontId="0" fillId="0" borderId="0" xfId="2" applyNumberFormat="1" applyFont="1" applyFill="1"/>
    <xf numFmtId="164" fontId="0" fillId="0" borderId="0" xfId="4" applyNumberFormat="1" applyFont="1" applyFill="1"/>
    <xf numFmtId="0" fontId="3" fillId="0" borderId="0" xfId="0" applyFont="1" applyAlignment="1">
      <alignment vertical="center" wrapText="1"/>
    </xf>
    <xf numFmtId="0" fontId="20" fillId="0" borderId="0" xfId="8" applyFill="1"/>
    <xf numFmtId="0" fontId="21" fillId="0" borderId="15" xfId="0" applyFont="1" applyBorder="1" applyAlignment="1">
      <alignment vertical="center" wrapText="1"/>
    </xf>
    <xf numFmtId="0" fontId="21" fillId="17" borderId="15" xfId="10" applyFont="1" applyFill="1" applyBorder="1"/>
    <xf numFmtId="37" fontId="21" fillId="0" borderId="15" xfId="4" applyNumberFormat="1" applyFont="1" applyBorder="1" applyAlignment="1">
      <alignment horizontal="center"/>
    </xf>
    <xf numFmtId="37" fontId="21" fillId="0" borderId="15" xfId="4" applyNumberFormat="1" applyFont="1" applyBorder="1" applyAlignment="1">
      <alignment horizontal="center" vertical="center" wrapText="1"/>
    </xf>
    <xf numFmtId="0" fontId="37" fillId="0" borderId="15" xfId="10" applyFont="1" applyBorder="1"/>
    <xf numFmtId="37" fontId="21" fillId="0" borderId="15" xfId="4" applyNumberFormat="1" applyFont="1" applyBorder="1" applyAlignment="1">
      <alignment horizontal="center" vertical="center"/>
    </xf>
    <xf numFmtId="0" fontId="37" fillId="0" borderId="24" xfId="10" applyFont="1" applyBorder="1" applyAlignment="1">
      <alignment vertical="center"/>
    </xf>
    <xf numFmtId="0" fontId="37" fillId="0" borderId="24" xfId="10" applyFont="1" applyBorder="1" applyAlignment="1">
      <alignment horizontal="center" vertical="center"/>
    </xf>
    <xf numFmtId="43" fontId="37" fillId="0" borderId="24" xfId="4" applyFont="1" applyBorder="1" applyAlignment="1">
      <alignment horizontal="center" vertical="center"/>
    </xf>
    <xf numFmtId="37" fontId="37" fillId="5" borderId="60" xfId="0" applyNumberFormat="1" applyFont="1" applyFill="1" applyBorder="1" applyAlignment="1">
      <alignment horizontal="center"/>
    </xf>
    <xf numFmtId="37" fontId="37" fillId="5" borderId="57" xfId="0" applyNumberFormat="1" applyFont="1" applyFill="1" applyBorder="1" applyAlignment="1">
      <alignment horizontal="center"/>
    </xf>
    <xf numFmtId="38" fontId="37" fillId="5" borderId="7" xfId="0" applyNumberFormat="1" applyFont="1" applyFill="1" applyBorder="1" applyAlignment="1">
      <alignment horizontal="center"/>
    </xf>
    <xf numFmtId="38" fontId="37" fillId="5" borderId="57" xfId="0" applyNumberFormat="1" applyFont="1" applyFill="1" applyBorder="1" applyAlignment="1">
      <alignment horizontal="center"/>
    </xf>
    <xf numFmtId="164" fontId="0" fillId="0" borderId="0" xfId="4" quotePrefix="1" applyNumberFormat="1" applyFont="1" applyFill="1" applyBorder="1"/>
    <xf numFmtId="164" fontId="0" fillId="0" borderId="0" xfId="4" quotePrefix="1" applyNumberFormat="1" applyFont="1"/>
    <xf numFmtId="0" fontId="36" fillId="20" borderId="15" xfId="0" applyFont="1" applyFill="1" applyBorder="1" applyAlignment="1">
      <alignment horizontal="center" vertical="center"/>
    </xf>
    <xf numFmtId="0" fontId="36" fillId="20" borderId="15" xfId="0" applyFont="1" applyFill="1" applyBorder="1" applyAlignment="1">
      <alignment horizontal="center" vertical="center" wrapText="1"/>
    </xf>
    <xf numFmtId="0" fontId="46" fillId="0" borderId="15" xfId="0" applyFont="1" applyBorder="1"/>
    <xf numFmtId="10" fontId="17" fillId="0" borderId="15" xfId="0" applyNumberFormat="1" applyFont="1" applyBorder="1" applyAlignment="1">
      <alignment horizontal="center"/>
    </xf>
    <xf numFmtId="170" fontId="0" fillId="0" borderId="0" xfId="4" applyNumberFormat="1" applyFont="1"/>
    <xf numFmtId="0" fontId="46" fillId="0" borderId="0" xfId="0" applyFont="1"/>
    <xf numFmtId="164" fontId="3" fillId="5" borderId="15" xfId="4" applyNumberFormat="1" applyFont="1" applyFill="1" applyBorder="1" applyAlignment="1">
      <alignment horizontal="center"/>
    </xf>
    <xf numFmtId="164" fontId="0" fillId="4" borderId="15" xfId="4" applyNumberFormat="1" applyFont="1" applyFill="1" applyBorder="1" applyAlignment="1">
      <alignment horizontal="center" vertical="center" wrapText="1"/>
    </xf>
    <xf numFmtId="0" fontId="0" fillId="0" borderId="73" xfId="0" applyBorder="1" applyAlignment="1">
      <alignment horizontal="left" vertical="center" wrapText="1"/>
    </xf>
    <xf numFmtId="164" fontId="3" fillId="5" borderId="18" xfId="4" applyNumberFormat="1" applyFont="1" applyFill="1" applyBorder="1" applyAlignment="1">
      <alignment horizontal="center"/>
    </xf>
    <xf numFmtId="0" fontId="39" fillId="7" borderId="38" xfId="0" applyFont="1" applyFill="1" applyBorder="1" applyAlignment="1">
      <alignment horizontal="center" vertical="center" wrapText="1"/>
    </xf>
    <xf numFmtId="0" fontId="39" fillId="7" borderId="0" xfId="0" applyFont="1" applyFill="1" applyAlignment="1">
      <alignment horizontal="center" vertical="center" wrapText="1"/>
    </xf>
    <xf numFmtId="0" fontId="39" fillId="7" borderId="39" xfId="0" applyFont="1" applyFill="1" applyBorder="1" applyAlignment="1">
      <alignment horizontal="center" vertical="center" wrapText="1"/>
    </xf>
    <xf numFmtId="0" fontId="18" fillId="5" borderId="44" xfId="0" applyFont="1" applyFill="1" applyBorder="1"/>
    <xf numFmtId="0" fontId="18" fillId="5" borderId="46" xfId="0" applyFont="1" applyFill="1" applyBorder="1"/>
    <xf numFmtId="0" fontId="18" fillId="0" borderId="44" xfId="0" applyFont="1" applyBorder="1" applyAlignment="1">
      <alignment horizontal="center" vertical="center"/>
    </xf>
    <xf numFmtId="0" fontId="18" fillId="0" borderId="75" xfId="0" applyFont="1" applyBorder="1" applyAlignment="1">
      <alignment horizontal="center" vertical="center" wrapText="1"/>
    </xf>
    <xf numFmtId="0" fontId="18" fillId="5" borderId="42" xfId="0" applyFont="1" applyFill="1" applyBorder="1"/>
    <xf numFmtId="164" fontId="18" fillId="5" borderId="31" xfId="4" applyNumberFormat="1" applyFont="1" applyFill="1" applyBorder="1" applyAlignment="1">
      <alignment horizontal="center" vertical="center"/>
    </xf>
    <xf numFmtId="44" fontId="18" fillId="5" borderId="31" xfId="2" applyFont="1" applyFill="1" applyBorder="1" applyAlignment="1">
      <alignment horizontal="center" vertical="center"/>
    </xf>
    <xf numFmtId="44" fontId="18" fillId="5" borderId="67" xfId="2" applyFont="1" applyFill="1" applyBorder="1" applyAlignment="1">
      <alignment horizontal="center" vertical="center"/>
    </xf>
    <xf numFmtId="170" fontId="18" fillId="5" borderId="31" xfId="4" applyNumberFormat="1" applyFont="1" applyFill="1" applyBorder="1" applyAlignment="1">
      <alignment horizontal="center" vertical="center"/>
    </xf>
    <xf numFmtId="170" fontId="18" fillId="5" borderId="67" xfId="4" applyNumberFormat="1" applyFont="1" applyFill="1" applyBorder="1" applyAlignment="1">
      <alignment horizontal="center" vertical="center"/>
    </xf>
    <xf numFmtId="0" fontId="18" fillId="5" borderId="51" xfId="0" applyFont="1" applyFill="1" applyBorder="1"/>
    <xf numFmtId="0" fontId="18" fillId="5" borderId="7" xfId="0" applyFont="1" applyFill="1" applyBorder="1" applyAlignment="1">
      <alignment horizontal="center" vertical="center"/>
    </xf>
    <xf numFmtId="0" fontId="18" fillId="5" borderId="30" xfId="0" applyFont="1" applyFill="1" applyBorder="1" applyAlignment="1">
      <alignment horizontal="center" vertical="center"/>
    </xf>
    <xf numFmtId="44" fontId="18" fillId="5" borderId="7" xfId="2" applyFont="1" applyFill="1" applyBorder="1" applyAlignment="1">
      <alignment horizontal="center" vertical="center"/>
    </xf>
    <xf numFmtId="44" fontId="18" fillId="5" borderId="6" xfId="2" applyFont="1" applyFill="1" applyBorder="1" applyAlignment="1">
      <alignment horizontal="center" vertical="center"/>
    </xf>
    <xf numFmtId="170" fontId="18" fillId="5" borderId="7" xfId="0" applyNumberFormat="1" applyFont="1" applyFill="1" applyBorder="1" applyAlignment="1">
      <alignment horizontal="center" vertical="center"/>
    </xf>
    <xf numFmtId="170" fontId="18" fillId="5" borderId="6" xfId="0" applyNumberFormat="1" applyFont="1" applyFill="1" applyBorder="1" applyAlignment="1">
      <alignment horizontal="center" vertical="center"/>
    </xf>
    <xf numFmtId="0" fontId="18" fillId="5" borderId="41" xfId="0" applyFont="1" applyFill="1" applyBorder="1"/>
    <xf numFmtId="0" fontId="18" fillId="5" borderId="77" xfId="0" applyFont="1" applyFill="1" applyBorder="1" applyAlignment="1">
      <alignment horizontal="center" vertical="center"/>
    </xf>
    <xf numFmtId="0" fontId="18" fillId="5" borderId="67" xfId="0" applyFont="1" applyFill="1" applyBorder="1" applyAlignment="1">
      <alignment horizontal="center" vertical="center"/>
    </xf>
    <xf numFmtId="170" fontId="18" fillId="5" borderId="31" xfId="0" applyNumberFormat="1" applyFont="1" applyFill="1" applyBorder="1" applyAlignment="1">
      <alignment horizontal="center" vertical="center"/>
    </xf>
    <xf numFmtId="0" fontId="18" fillId="5" borderId="7" xfId="0" applyFont="1" applyFill="1" applyBorder="1"/>
    <xf numFmtId="0" fontId="18" fillId="5" borderId="5" xfId="0" applyFont="1" applyFill="1" applyBorder="1"/>
    <xf numFmtId="0" fontId="6" fillId="7" borderId="75" xfId="0" applyFont="1" applyFill="1" applyBorder="1" applyAlignment="1">
      <alignment horizontal="center" vertical="center" wrapText="1"/>
    </xf>
    <xf numFmtId="0" fontId="6" fillId="7" borderId="71" xfId="0" applyFont="1" applyFill="1" applyBorder="1" applyAlignment="1">
      <alignment horizontal="center" vertical="center" wrapText="1"/>
    </xf>
    <xf numFmtId="0" fontId="6" fillId="7" borderId="74" xfId="0" applyFont="1" applyFill="1" applyBorder="1" applyAlignment="1">
      <alignment horizontal="center" vertical="center" wrapText="1"/>
    </xf>
    <xf numFmtId="164" fontId="18" fillId="0" borderId="31" xfId="4" applyNumberFormat="1" applyFont="1" applyBorder="1" applyAlignment="1">
      <alignment horizontal="center" vertical="center"/>
    </xf>
    <xf numFmtId="0" fontId="21" fillId="0" borderId="0" xfId="10" applyFont="1"/>
    <xf numFmtId="0" fontId="39" fillId="4" borderId="10" xfId="0" applyFont="1" applyFill="1" applyBorder="1" applyAlignment="1">
      <alignment horizontal="center" vertical="center" wrapText="1"/>
    </xf>
    <xf numFmtId="164" fontId="39" fillId="4" borderId="11" xfId="4" applyNumberFormat="1" applyFont="1" applyFill="1" applyBorder="1" applyAlignment="1">
      <alignment horizontal="center" vertical="center" wrapText="1"/>
    </xf>
    <xf numFmtId="164" fontId="39" fillId="4" borderId="12" xfId="4" applyNumberFormat="1" applyFont="1" applyFill="1" applyBorder="1" applyAlignment="1">
      <alignment horizontal="center" vertical="center" wrapText="1"/>
    </xf>
    <xf numFmtId="0" fontId="18" fillId="0" borderId="15" xfId="0" applyFont="1" applyBorder="1"/>
    <xf numFmtId="164" fontId="39" fillId="4" borderId="0" xfId="4" applyNumberFormat="1" applyFont="1" applyFill="1" applyBorder="1" applyAlignment="1">
      <alignment horizontal="center" vertical="center" wrapText="1"/>
    </xf>
    <xf numFmtId="164" fontId="39" fillId="4" borderId="27" xfId="4" applyNumberFormat="1" applyFont="1" applyFill="1" applyBorder="1" applyAlignment="1">
      <alignment horizontal="center" vertical="center" wrapText="1"/>
    </xf>
    <xf numFmtId="0" fontId="39" fillId="4" borderId="76" xfId="0" applyFont="1" applyFill="1" applyBorder="1" applyAlignment="1">
      <alignment horizontal="center" vertical="center" wrapText="1"/>
    </xf>
    <xf numFmtId="165" fontId="0" fillId="0" borderId="52" xfId="2" applyNumberFormat="1" applyFont="1" applyBorder="1"/>
    <xf numFmtId="165" fontId="0" fillId="0" borderId="55" xfId="2" applyNumberFormat="1" applyFont="1" applyBorder="1"/>
    <xf numFmtId="43" fontId="3" fillId="0" borderId="20" xfId="4" applyFont="1" applyBorder="1"/>
    <xf numFmtId="43" fontId="3" fillId="0" borderId="45" xfId="4" applyFont="1" applyBorder="1"/>
    <xf numFmtId="165" fontId="3" fillId="0" borderId="44" xfId="2" applyNumberFormat="1" applyFont="1" applyBorder="1" applyAlignment="1">
      <alignment horizontal="center" wrapText="1"/>
    </xf>
    <xf numFmtId="165" fontId="3" fillId="0" borderId="38" xfId="2" applyNumberFormat="1" applyFont="1" applyBorder="1" applyAlignment="1">
      <alignment horizontal="center" wrapText="1"/>
    </xf>
    <xf numFmtId="165" fontId="3" fillId="0" borderId="1" xfId="2" applyNumberFormat="1" applyFont="1" applyBorder="1" applyAlignment="1">
      <alignment horizontal="center" wrapText="1"/>
    </xf>
    <xf numFmtId="165" fontId="8" fillId="15" borderId="52" xfId="2" applyNumberFormat="1" applyFont="1" applyFill="1" applyBorder="1"/>
    <xf numFmtId="165" fontId="8" fillId="15" borderId="0" xfId="2" applyNumberFormat="1" applyFont="1" applyFill="1"/>
    <xf numFmtId="165" fontId="0" fillId="15" borderId="0" xfId="2" applyNumberFormat="1" applyFont="1" applyFill="1"/>
    <xf numFmtId="165" fontId="0" fillId="15" borderId="72" xfId="2" applyNumberFormat="1" applyFont="1" applyFill="1" applyBorder="1"/>
    <xf numFmtId="165" fontId="0" fillId="0" borderId="72" xfId="2" applyNumberFormat="1" applyFont="1" applyBorder="1"/>
    <xf numFmtId="165" fontId="3" fillId="0" borderId="20" xfId="2" applyNumberFormat="1" applyFont="1" applyBorder="1"/>
    <xf numFmtId="165" fontId="0" fillId="15" borderId="52" xfId="2" applyNumberFormat="1" applyFont="1" applyFill="1" applyBorder="1"/>
    <xf numFmtId="165" fontId="0" fillId="0" borderId="78" xfId="2" applyNumberFormat="1" applyFont="1" applyBorder="1"/>
    <xf numFmtId="165" fontId="0" fillId="0" borderId="59" xfId="2" applyNumberFormat="1" applyFont="1" applyBorder="1"/>
    <xf numFmtId="165" fontId="3" fillId="0" borderId="52" xfId="2" applyNumberFormat="1" applyFont="1" applyBorder="1"/>
    <xf numFmtId="43" fontId="18" fillId="0" borderId="15" xfId="4" applyFont="1" applyFill="1" applyBorder="1"/>
    <xf numFmtId="43" fontId="18" fillId="0" borderId="15" xfId="4" applyFont="1" applyFill="1" applyBorder="1" applyAlignment="1">
      <alignment horizontal="center" vertical="center"/>
    </xf>
    <xf numFmtId="0" fontId="39" fillId="4" borderId="0" xfId="0" applyFont="1" applyFill="1" applyAlignment="1">
      <alignment horizontal="center" vertical="center" wrapText="1"/>
    </xf>
    <xf numFmtId="0" fontId="19" fillId="0" borderId="78" xfId="0" applyFont="1" applyBorder="1"/>
    <xf numFmtId="166" fontId="18" fillId="0" borderId="15" xfId="4" applyNumberFormat="1" applyFont="1" applyBorder="1"/>
    <xf numFmtId="166" fontId="18" fillId="0" borderId="15" xfId="4" applyNumberFormat="1" applyFont="1" applyBorder="1" applyAlignment="1">
      <alignment horizontal="left" indent="1"/>
    </xf>
    <xf numFmtId="166" fontId="18" fillId="0" borderId="0" xfId="4" applyNumberFormat="1" applyFont="1"/>
    <xf numFmtId="2" fontId="18" fillId="0" borderId="15" xfId="0" applyNumberFormat="1" applyFont="1" applyBorder="1"/>
    <xf numFmtId="173" fontId="18" fillId="0" borderId="15" xfId="0" applyNumberFormat="1" applyFont="1" applyBorder="1"/>
    <xf numFmtId="165" fontId="3" fillId="0" borderId="23" xfId="2" applyNumberFormat="1" applyFont="1" applyBorder="1"/>
    <xf numFmtId="43" fontId="3" fillId="0" borderId="60" xfId="4" applyFont="1" applyBorder="1"/>
    <xf numFmtId="165" fontId="0" fillId="0" borderId="10" xfId="2" applyNumberFormat="1" applyFont="1" applyBorder="1"/>
    <xf numFmtId="43" fontId="3" fillId="0" borderId="15" xfId="4" applyFont="1" applyBorder="1"/>
    <xf numFmtId="165" fontId="0" fillId="0" borderId="27" xfId="2" applyNumberFormat="1" applyFont="1" applyBorder="1"/>
    <xf numFmtId="165" fontId="0" fillId="0" borderId="52" xfId="0" applyNumberFormat="1" applyBorder="1"/>
    <xf numFmtId="165" fontId="0" fillId="0" borderId="55" xfId="0" applyNumberFormat="1" applyBorder="1"/>
    <xf numFmtId="165" fontId="0" fillId="0" borderId="72" xfId="0" applyNumberFormat="1" applyBorder="1"/>
    <xf numFmtId="0" fontId="52" fillId="0" borderId="0" xfId="10" applyFont="1"/>
    <xf numFmtId="0" fontId="53" fillId="0" borderId="0" xfId="10" applyFont="1"/>
    <xf numFmtId="0" fontId="28" fillId="4" borderId="23" xfId="0" applyFont="1" applyFill="1" applyBorder="1" applyAlignment="1">
      <alignment horizontal="center" vertical="center" wrapText="1"/>
    </xf>
    <xf numFmtId="164" fontId="28" fillId="4" borderId="24" xfId="4" applyNumberFormat="1" applyFont="1" applyFill="1" applyBorder="1" applyAlignment="1">
      <alignment horizontal="center" vertical="center" wrapText="1"/>
    </xf>
    <xf numFmtId="164" fontId="28" fillId="4" borderId="25" xfId="4" applyNumberFormat="1" applyFont="1" applyFill="1" applyBorder="1" applyAlignment="1">
      <alignment horizontal="center" vertical="center" wrapText="1"/>
    </xf>
    <xf numFmtId="0" fontId="29" fillId="0" borderId="15" xfId="0" applyFont="1" applyBorder="1" applyAlignment="1">
      <alignment wrapText="1"/>
    </xf>
    <xf numFmtId="164" fontId="29" fillId="0" borderId="15" xfId="4" applyNumberFormat="1" applyFont="1" applyBorder="1" applyAlignment="1"/>
    <xf numFmtId="0" fontId="29" fillId="8" borderId="15" xfId="0" applyFont="1" applyFill="1" applyBorder="1" applyAlignment="1">
      <alignment wrapText="1"/>
    </xf>
    <xf numFmtId="3" fontId="30" fillId="16" borderId="15" xfId="0" applyNumberFormat="1" applyFont="1" applyFill="1" applyBorder="1" applyAlignment="1">
      <alignment vertical="center" wrapText="1"/>
    </xf>
    <xf numFmtId="9" fontId="30" fillId="16" borderId="15" xfId="1" applyFont="1" applyFill="1" applyBorder="1" applyAlignment="1">
      <alignment vertical="center" wrapText="1"/>
    </xf>
    <xf numFmtId="0" fontId="29" fillId="0" borderId="15" xfId="0" applyFont="1" applyBorder="1" applyAlignment="1">
      <alignment vertical="center" wrapText="1"/>
    </xf>
    <xf numFmtId="3" fontId="29" fillId="0" borderId="15" xfId="0" applyNumberFormat="1" applyFont="1" applyBorder="1" applyAlignment="1">
      <alignment vertical="center"/>
    </xf>
    <xf numFmtId="0" fontId="30" fillId="16" borderId="15" xfId="0" applyFont="1" applyFill="1" applyBorder="1" applyAlignment="1">
      <alignment vertical="center" wrapText="1"/>
    </xf>
    <xf numFmtId="3" fontId="29" fillId="16" borderId="15" xfId="0" applyNumberFormat="1" applyFont="1" applyFill="1" applyBorder="1" applyAlignment="1">
      <alignment vertical="center" wrapText="1"/>
    </xf>
    <xf numFmtId="0" fontId="29" fillId="0" borderId="0" xfId="0" applyFont="1"/>
    <xf numFmtId="0" fontId="58" fillId="4" borderId="23" xfId="0" applyFont="1" applyFill="1" applyBorder="1" applyAlignment="1">
      <alignment horizontal="center" vertical="center" wrapText="1"/>
    </xf>
    <xf numFmtId="164" fontId="58" fillId="4" borderId="24" xfId="4" applyNumberFormat="1" applyFont="1" applyFill="1" applyBorder="1" applyAlignment="1">
      <alignment horizontal="center" vertical="center" wrapText="1"/>
    </xf>
    <xf numFmtId="164" fontId="58" fillId="4" borderId="25" xfId="4" applyNumberFormat="1" applyFont="1" applyFill="1" applyBorder="1" applyAlignment="1">
      <alignment horizontal="center" vertical="center" wrapText="1"/>
    </xf>
    <xf numFmtId="164" fontId="29" fillId="0" borderId="15" xfId="4" applyNumberFormat="1" applyFont="1" applyBorder="1"/>
    <xf numFmtId="3" fontId="30" fillId="16" borderId="15" xfId="0" applyNumberFormat="1" applyFont="1" applyFill="1" applyBorder="1" applyAlignment="1">
      <alignment horizontal="right" vertical="center" wrapText="1"/>
    </xf>
    <xf numFmtId="9" fontId="30" fillId="16" borderId="15" xfId="1" applyFont="1" applyFill="1" applyBorder="1" applyAlignment="1">
      <alignment horizontal="right" vertical="center" wrapText="1"/>
    </xf>
    <xf numFmtId="3" fontId="29" fillId="0" borderId="15" xfId="0" applyNumberFormat="1" applyFont="1" applyBorder="1" applyAlignment="1">
      <alignment horizontal="right" vertical="center"/>
    </xf>
    <xf numFmtId="164" fontId="29" fillId="0" borderId="15" xfId="4" applyNumberFormat="1" applyFont="1" applyFill="1" applyBorder="1"/>
    <xf numFmtId="0" fontId="29" fillId="0" borderId="15" xfId="0" applyFont="1" applyBorder="1" applyAlignment="1">
      <alignment horizontal="right" vertical="center" wrapText="1"/>
    </xf>
    <xf numFmtId="3" fontId="29" fillId="16" borderId="15" xfId="0" applyNumberFormat="1" applyFont="1" applyFill="1" applyBorder="1" applyAlignment="1">
      <alignment horizontal="right" vertical="center" wrapText="1"/>
    </xf>
    <xf numFmtId="0" fontId="50" fillId="0" borderId="0" xfId="10" applyFont="1"/>
    <xf numFmtId="0" fontId="59" fillId="0" borderId="0" xfId="10" applyFont="1"/>
    <xf numFmtId="43" fontId="59" fillId="0" borderId="0" xfId="4" applyFont="1" applyAlignment="1">
      <alignment horizontal="center"/>
    </xf>
    <xf numFmtId="165" fontId="3" fillId="0" borderId="48" xfId="2" applyNumberFormat="1" applyFont="1" applyBorder="1"/>
    <xf numFmtId="165" fontId="3" fillId="0" borderId="56" xfId="0" applyNumberFormat="1" applyFont="1" applyBorder="1"/>
    <xf numFmtId="165" fontId="3" fillId="0" borderId="22" xfId="0" applyNumberFormat="1" applyFont="1" applyBorder="1"/>
    <xf numFmtId="0" fontId="43" fillId="6" borderId="56" xfId="9" applyFont="1" applyFill="1" applyBorder="1"/>
    <xf numFmtId="0" fontId="21" fillId="17" borderId="6" xfId="0" applyFont="1" applyFill="1" applyBorder="1" applyAlignment="1">
      <alignment horizontal="center" vertical="center"/>
    </xf>
    <xf numFmtId="175" fontId="21" fillId="17" borderId="7" xfId="0" applyNumberFormat="1" applyFont="1" applyFill="1" applyBorder="1" applyAlignment="1">
      <alignment horizontal="center" vertical="center"/>
    </xf>
    <xf numFmtId="164" fontId="22" fillId="17" borderId="3" xfId="4" applyNumberFormat="1" applyFont="1" applyFill="1" applyBorder="1" applyAlignment="1">
      <alignment horizontal="center" vertical="center"/>
    </xf>
    <xf numFmtId="164" fontId="21" fillId="17" borderId="15" xfId="4" applyNumberFormat="1" applyFont="1" applyFill="1" applyBorder="1" applyAlignment="1">
      <alignment horizontal="center" vertical="center"/>
    </xf>
    <xf numFmtId="0" fontId="21" fillId="0" borderId="3" xfId="0" applyFont="1" applyBorder="1" applyAlignment="1">
      <alignment horizontal="center" vertical="center"/>
    </xf>
    <xf numFmtId="0" fontId="21" fillId="0" borderId="14" xfId="0" applyFont="1" applyBorder="1" applyAlignment="1">
      <alignment horizontal="center" vertical="center"/>
    </xf>
    <xf numFmtId="165" fontId="21" fillId="0" borderId="3" xfId="2" applyNumberFormat="1" applyFont="1" applyFill="1" applyBorder="1" applyAlignment="1">
      <alignment horizontal="center" vertical="center"/>
    </xf>
    <xf numFmtId="165" fontId="21" fillId="0" borderId="14" xfId="2" applyNumberFormat="1" applyFont="1" applyFill="1" applyBorder="1" applyAlignment="1">
      <alignment horizontal="center" vertical="center"/>
    </xf>
    <xf numFmtId="164" fontId="21" fillId="0" borderId="3" xfId="4" applyNumberFormat="1" applyFont="1" applyFill="1" applyBorder="1" applyAlignment="1">
      <alignment horizontal="center" vertical="center"/>
    </xf>
    <xf numFmtId="164" fontId="21" fillId="0" borderId="14" xfId="4" applyNumberFormat="1" applyFont="1" applyFill="1" applyBorder="1" applyAlignment="1">
      <alignment horizontal="center" vertical="center"/>
    </xf>
    <xf numFmtId="164" fontId="21" fillId="0" borderId="28" xfId="4" applyNumberFormat="1" applyFont="1" applyFill="1" applyBorder="1" applyAlignment="1">
      <alignment horizontal="center" vertical="center"/>
    </xf>
    <xf numFmtId="164" fontId="21" fillId="0" borderId="15" xfId="4" applyNumberFormat="1" applyFont="1" applyFill="1" applyBorder="1" applyAlignment="1">
      <alignment horizontal="center" vertical="center"/>
    </xf>
    <xf numFmtId="0" fontId="21" fillId="0" borderId="7" xfId="0" applyFont="1" applyBorder="1" applyAlignment="1">
      <alignment horizontal="center" vertical="center"/>
    </xf>
    <xf numFmtId="165" fontId="21" fillId="0" borderId="7" xfId="2" applyNumberFormat="1" applyFont="1" applyFill="1" applyBorder="1" applyAlignment="1">
      <alignment horizontal="center" vertical="center"/>
    </xf>
    <xf numFmtId="165" fontId="21" fillId="0" borderId="6" xfId="2" applyNumberFormat="1" applyFont="1" applyFill="1" applyBorder="1" applyAlignment="1">
      <alignment horizontal="center" vertical="center"/>
    </xf>
    <xf numFmtId="164" fontId="21" fillId="0" borderId="7" xfId="4" applyNumberFormat="1" applyFont="1" applyFill="1" applyBorder="1" applyAlignment="1">
      <alignment horizontal="center" vertical="center"/>
    </xf>
    <xf numFmtId="164" fontId="21" fillId="0" borderId="6" xfId="4" applyNumberFormat="1" applyFont="1" applyFill="1" applyBorder="1" applyAlignment="1">
      <alignment horizontal="center" vertical="center"/>
    </xf>
    <xf numFmtId="164" fontId="21" fillId="0" borderId="30" xfId="4" applyNumberFormat="1" applyFont="1" applyFill="1" applyBorder="1" applyAlignment="1">
      <alignment horizontal="center" vertical="center"/>
    </xf>
    <xf numFmtId="0" fontId="60" fillId="0" borderId="0" xfId="0" applyFont="1"/>
    <xf numFmtId="0" fontId="64" fillId="0" borderId="0" xfId="0" applyFont="1"/>
    <xf numFmtId="0" fontId="19" fillId="0" borderId="0" xfId="0" applyFont="1"/>
    <xf numFmtId="165" fontId="0" fillId="0" borderId="37" xfId="0" applyNumberFormat="1" applyBorder="1" applyAlignment="1">
      <alignment horizontal="center" vertical="center"/>
    </xf>
    <xf numFmtId="165" fontId="0" fillId="0" borderId="35" xfId="0" applyNumberFormat="1" applyBorder="1" applyAlignment="1">
      <alignment horizontal="center" vertical="center"/>
    </xf>
    <xf numFmtId="165" fontId="0" fillId="0" borderId="13" xfId="2" applyNumberFormat="1" applyFont="1" applyFill="1" applyBorder="1" applyAlignment="1">
      <alignment horizontal="center" vertical="center"/>
    </xf>
    <xf numFmtId="0" fontId="61" fillId="21" borderId="37" xfId="0" applyFont="1" applyFill="1" applyBorder="1"/>
    <xf numFmtId="0" fontId="61" fillId="21" borderId="33" xfId="0" applyFont="1" applyFill="1" applyBorder="1"/>
    <xf numFmtId="172" fontId="61" fillId="21" borderId="15" xfId="0" applyNumberFormat="1" applyFont="1" applyFill="1" applyBorder="1"/>
    <xf numFmtId="0" fontId="61" fillId="21" borderId="35" xfId="0" applyFont="1" applyFill="1" applyBorder="1"/>
    <xf numFmtId="0" fontId="44" fillId="6" borderId="38" xfId="0" applyFont="1" applyFill="1" applyBorder="1" applyAlignment="1">
      <alignment horizontal="left" vertical="center" wrapText="1"/>
    </xf>
    <xf numFmtId="0" fontId="44" fillId="6" borderId="79" xfId="0" applyFont="1" applyFill="1" applyBorder="1" applyAlignment="1">
      <alignment horizontal="left" vertical="center" wrapText="1"/>
    </xf>
    <xf numFmtId="164" fontId="3" fillId="11" borderId="10" xfId="4" applyNumberFormat="1" applyFont="1" applyFill="1" applyBorder="1" applyAlignment="1">
      <alignment horizontal="center"/>
    </xf>
    <xf numFmtId="164" fontId="3" fillId="11" borderId="11" xfId="4" applyNumberFormat="1" applyFont="1" applyFill="1" applyBorder="1" applyAlignment="1">
      <alignment horizontal="center"/>
    </xf>
    <xf numFmtId="168" fontId="3" fillId="11" borderId="71" xfId="1" applyNumberFormat="1" applyFont="1" applyFill="1" applyBorder="1" applyAlignment="1">
      <alignment horizontal="center"/>
    </xf>
    <xf numFmtId="164" fontId="3" fillId="11" borderId="27" xfId="4" applyNumberFormat="1" applyFont="1" applyFill="1" applyBorder="1" applyAlignment="1">
      <alignment horizontal="center"/>
    </xf>
    <xf numFmtId="168" fontId="3" fillId="11" borderId="11" xfId="1" applyNumberFormat="1" applyFont="1" applyFill="1" applyBorder="1" applyAlignment="1">
      <alignment horizontal="center"/>
    </xf>
    <xf numFmtId="0" fontId="11" fillId="0" borderId="76" xfId="0" applyFont="1" applyBorder="1"/>
    <xf numFmtId="0" fontId="2" fillId="0" borderId="66" xfId="0" applyFont="1" applyBorder="1"/>
    <xf numFmtId="44" fontId="2" fillId="0" borderId="66" xfId="0" applyNumberFormat="1" applyFont="1" applyBorder="1"/>
    <xf numFmtId="171" fontId="2" fillId="0" borderId="66" xfId="1" applyNumberFormat="1" applyFont="1" applyBorder="1"/>
    <xf numFmtId="165" fontId="2" fillId="0" borderId="66" xfId="2" applyNumberFormat="1" applyFont="1" applyBorder="1"/>
    <xf numFmtId="0" fontId="2" fillId="0" borderId="34" xfId="0" applyFont="1" applyBorder="1"/>
    <xf numFmtId="0" fontId="11" fillId="0" borderId="71" xfId="0" applyFont="1" applyBorder="1"/>
    <xf numFmtId="165" fontId="0" fillId="0" borderId="0" xfId="2" applyNumberFormat="1" applyFont="1" applyBorder="1"/>
    <xf numFmtId="0" fontId="0" fillId="0" borderId="27" xfId="0" applyBorder="1"/>
    <xf numFmtId="164" fontId="0" fillId="0" borderId="0" xfId="4" applyNumberFormat="1" applyFont="1" applyBorder="1"/>
    <xf numFmtId="43" fontId="0" fillId="0" borderId="0" xfId="4" applyFont="1" applyBorder="1"/>
    <xf numFmtId="0" fontId="0" fillId="0" borderId="78" xfId="0" applyBorder="1"/>
    <xf numFmtId="164" fontId="0" fillId="0" borderId="78" xfId="4" applyNumberFormat="1" applyFont="1" applyBorder="1"/>
    <xf numFmtId="43" fontId="0" fillId="0" borderId="78" xfId="4" applyFont="1" applyBorder="1"/>
    <xf numFmtId="0" fontId="0" fillId="0" borderId="33" xfId="0" applyBorder="1"/>
    <xf numFmtId="0" fontId="17" fillId="0" borderId="0" xfId="0" applyFont="1"/>
    <xf numFmtId="165" fontId="0" fillId="0" borderId="38" xfId="2" applyNumberFormat="1" applyFont="1" applyFill="1" applyBorder="1" applyAlignment="1">
      <alignment horizontal="center" vertical="center"/>
    </xf>
    <xf numFmtId="164" fontId="0" fillId="0" borderId="3" xfId="4" applyNumberFormat="1" applyFont="1" applyFill="1" applyBorder="1" applyAlignment="1">
      <alignment horizontal="center" vertical="center"/>
    </xf>
    <xf numFmtId="164" fontId="11" fillId="0" borderId="15" xfId="4" applyNumberFormat="1" applyFont="1" applyFill="1" applyBorder="1" applyAlignment="1">
      <alignment horizontal="center"/>
    </xf>
    <xf numFmtId="165" fontId="0" fillId="0" borderId="21" xfId="2" applyNumberFormat="1" applyFont="1" applyFill="1" applyBorder="1" applyAlignment="1">
      <alignment horizontal="center" vertical="center"/>
    </xf>
    <xf numFmtId="164" fontId="0" fillId="0" borderId="17" xfId="4" applyNumberFormat="1" applyFont="1" applyFill="1" applyBorder="1" applyAlignment="1">
      <alignment horizontal="center" vertical="center"/>
    </xf>
    <xf numFmtId="164" fontId="0" fillId="0" borderId="18" xfId="4" applyNumberFormat="1" applyFont="1" applyFill="1" applyBorder="1" applyAlignment="1">
      <alignment horizontal="center"/>
    </xf>
    <xf numFmtId="0" fontId="61" fillId="0" borderId="18" xfId="0" applyFont="1" applyBorder="1"/>
    <xf numFmtId="165" fontId="0" fillId="0" borderId="21" xfId="2" applyNumberFormat="1" applyFont="1" applyFill="1" applyBorder="1" applyAlignment="1">
      <alignment horizontal="left" vertical="center"/>
    </xf>
    <xf numFmtId="172" fontId="61" fillId="0" borderId="18" xfId="0" applyNumberFormat="1" applyFont="1" applyBorder="1"/>
    <xf numFmtId="0" fontId="61" fillId="0" borderId="26" xfId="0" applyFont="1" applyBorder="1"/>
    <xf numFmtId="164" fontId="0" fillId="0" borderId="26" xfId="4" applyNumberFormat="1" applyFont="1" applyFill="1" applyBorder="1" applyAlignment="1">
      <alignment horizontal="center" vertical="center"/>
    </xf>
    <xf numFmtId="0" fontId="61" fillId="0" borderId="15" xfId="0" applyFont="1" applyBorder="1"/>
    <xf numFmtId="164" fontId="0" fillId="0" borderId="5" xfId="4" applyNumberFormat="1" applyFont="1" applyFill="1" applyBorder="1" applyAlignment="1">
      <alignment horizontal="center" vertical="center"/>
    </xf>
    <xf numFmtId="164" fontId="0" fillId="0" borderId="15" xfId="4" applyNumberFormat="1" applyFont="1" applyFill="1" applyBorder="1" applyAlignment="1">
      <alignment horizontal="center"/>
    </xf>
    <xf numFmtId="164" fontId="0" fillId="0" borderId="7" xfId="4" applyNumberFormat="1" applyFont="1" applyFill="1" applyBorder="1" applyAlignment="1">
      <alignment horizontal="center" vertical="center"/>
    </xf>
    <xf numFmtId="168" fontId="0" fillId="0" borderId="72" xfId="1" applyNumberFormat="1" applyFont="1" applyFill="1" applyBorder="1" applyAlignment="1">
      <alignment horizontal="center" vertical="center"/>
    </xf>
    <xf numFmtId="168" fontId="3" fillId="9" borderId="16" xfId="1" applyNumberFormat="1" applyFont="1" applyFill="1" applyBorder="1" applyAlignment="1">
      <alignment horizontal="center" vertical="center"/>
    </xf>
    <xf numFmtId="0" fontId="3" fillId="9" borderId="55" xfId="0" applyFont="1" applyFill="1" applyBorder="1"/>
    <xf numFmtId="0" fontId="14" fillId="0" borderId="3" xfId="0" applyFont="1" applyBorder="1"/>
    <xf numFmtId="0" fontId="14" fillId="0" borderId="13" xfId="0" applyFont="1" applyBorder="1"/>
    <xf numFmtId="0" fontId="14" fillId="0" borderId="17" xfId="0" applyFont="1" applyBorder="1"/>
    <xf numFmtId="164" fontId="0" fillId="0" borderId="20" xfId="4" applyNumberFormat="1" applyFont="1" applyFill="1" applyBorder="1" applyAlignment="1">
      <alignment horizontal="center" vertical="center"/>
    </xf>
    <xf numFmtId="0" fontId="14" fillId="0" borderId="10" xfId="0" applyFont="1" applyBorder="1"/>
    <xf numFmtId="164" fontId="0" fillId="0" borderId="24" xfId="4" applyNumberFormat="1" applyFont="1" applyFill="1" applyBorder="1" applyAlignment="1">
      <alignment horizontal="center" vertical="center"/>
    </xf>
    <xf numFmtId="168" fontId="0" fillId="0" borderId="25" xfId="1" applyNumberFormat="1" applyFont="1" applyFill="1" applyBorder="1" applyAlignment="1">
      <alignment horizontal="center" vertical="center"/>
    </xf>
    <xf numFmtId="165" fontId="0" fillId="0" borderId="48" xfId="2" applyNumberFormat="1" applyFont="1" applyFill="1" applyBorder="1" applyAlignment="1">
      <alignment horizontal="center" vertical="center"/>
    </xf>
    <xf numFmtId="164" fontId="0" fillId="0" borderId="31" xfId="4" applyNumberFormat="1" applyFont="1" applyFill="1" applyBorder="1" applyAlignment="1">
      <alignment horizontal="center" vertical="center"/>
    </xf>
    <xf numFmtId="164" fontId="0" fillId="0" borderId="62" xfId="4" applyNumberFormat="1" applyFont="1" applyFill="1" applyBorder="1" applyAlignment="1">
      <alignment horizontal="center" vertical="center"/>
    </xf>
    <xf numFmtId="165" fontId="0" fillId="0" borderId="41" xfId="2" applyNumberFormat="1" applyFont="1" applyFill="1" applyBorder="1" applyAlignment="1">
      <alignment horizontal="center" vertical="center"/>
    </xf>
    <xf numFmtId="164" fontId="0" fillId="0" borderId="37" xfId="4" applyNumberFormat="1" applyFont="1" applyFill="1" applyBorder="1" applyAlignment="1">
      <alignment horizontal="center" vertical="center"/>
    </xf>
    <xf numFmtId="164" fontId="0" fillId="0" borderId="35" xfId="4" applyNumberFormat="1" applyFont="1" applyFill="1" applyBorder="1" applyAlignment="1">
      <alignment horizontal="center" vertical="center"/>
    </xf>
    <xf numFmtId="165" fontId="0" fillId="0" borderId="31" xfId="4" applyNumberFormat="1" applyFont="1" applyFill="1" applyBorder="1" applyAlignment="1">
      <alignment horizontal="center" vertical="center"/>
    </xf>
    <xf numFmtId="165" fontId="0" fillId="0" borderId="62" xfId="2" applyNumberFormat="1" applyFont="1" applyFill="1" applyBorder="1" applyAlignment="1">
      <alignment horizontal="center" vertical="center"/>
    </xf>
    <xf numFmtId="164" fontId="14" fillId="0" borderId="62" xfId="4" applyNumberFormat="1" applyFont="1" applyFill="1" applyBorder="1" applyAlignment="1">
      <alignment horizontal="center"/>
    </xf>
    <xf numFmtId="168" fontId="14" fillId="0" borderId="62" xfId="1" applyNumberFormat="1" applyFont="1" applyFill="1" applyBorder="1" applyAlignment="1">
      <alignment horizontal="center"/>
    </xf>
    <xf numFmtId="164" fontId="25" fillId="0" borderId="62" xfId="4" applyNumberFormat="1" applyFont="1" applyFill="1" applyBorder="1" applyAlignment="1">
      <alignment horizontal="center"/>
    </xf>
    <xf numFmtId="170" fontId="14" fillId="0" borderId="62" xfId="4" applyNumberFormat="1" applyFont="1" applyFill="1" applyBorder="1" applyAlignment="1">
      <alignment horizontal="center"/>
    </xf>
    <xf numFmtId="165" fontId="0" fillId="0" borderId="17" xfId="4" applyNumberFormat="1" applyFont="1" applyFill="1" applyBorder="1" applyAlignment="1">
      <alignment horizontal="center" vertical="center"/>
    </xf>
    <xf numFmtId="165" fontId="0" fillId="0" borderId="18" xfId="2" applyNumberFormat="1" applyFont="1" applyFill="1" applyBorder="1" applyAlignment="1">
      <alignment horizontal="center" vertical="center"/>
    </xf>
    <xf numFmtId="164" fontId="14" fillId="0" borderId="18" xfId="4" applyNumberFormat="1" applyFont="1" applyFill="1" applyBorder="1" applyAlignment="1">
      <alignment horizontal="center"/>
    </xf>
    <xf numFmtId="168" fontId="14" fillId="0" borderId="18" xfId="1" applyNumberFormat="1" applyFont="1" applyFill="1" applyBorder="1" applyAlignment="1">
      <alignment horizontal="center"/>
    </xf>
    <xf numFmtId="164" fontId="47" fillId="0" borderId="18" xfId="4" applyNumberFormat="1" applyFont="1" applyFill="1" applyBorder="1" applyAlignment="1">
      <alignment horizontal="center"/>
    </xf>
    <xf numFmtId="170" fontId="14" fillId="0" borderId="18" xfId="4" applyNumberFormat="1" applyFont="1" applyFill="1" applyBorder="1" applyAlignment="1">
      <alignment horizontal="center"/>
    </xf>
    <xf numFmtId="165" fontId="0" fillId="0" borderId="26" xfId="4" applyNumberFormat="1" applyFont="1" applyFill="1" applyBorder="1" applyAlignment="1">
      <alignment horizontal="center" vertical="center"/>
    </xf>
    <xf numFmtId="164" fontId="14" fillId="0" borderId="15" xfId="4" applyNumberFormat="1" applyFont="1" applyFill="1" applyBorder="1" applyAlignment="1">
      <alignment horizontal="center"/>
    </xf>
    <xf numFmtId="168" fontId="14" fillId="0" borderId="15" xfId="1" applyNumberFormat="1" applyFont="1" applyFill="1" applyBorder="1" applyAlignment="1">
      <alignment horizontal="center"/>
    </xf>
    <xf numFmtId="164" fontId="25" fillId="0" borderId="15" xfId="4" applyNumberFormat="1" applyFont="1" applyFill="1" applyBorder="1" applyAlignment="1">
      <alignment horizontal="center"/>
    </xf>
    <xf numFmtId="170" fontId="14" fillId="0" borderId="15" xfId="4" applyNumberFormat="1" applyFont="1" applyFill="1" applyBorder="1" applyAlignment="1">
      <alignment horizontal="center"/>
    </xf>
    <xf numFmtId="165" fontId="0" fillId="0" borderId="7" xfId="4" applyNumberFormat="1" applyFont="1" applyFill="1" applyBorder="1" applyAlignment="1">
      <alignment horizontal="center" vertical="center"/>
    </xf>
    <xf numFmtId="165" fontId="0" fillId="0" borderId="5" xfId="2" applyNumberFormat="1" applyFont="1" applyFill="1" applyBorder="1" applyAlignment="1">
      <alignment horizontal="center" vertical="center"/>
    </xf>
    <xf numFmtId="164" fontId="14" fillId="0" borderId="5" xfId="4" applyNumberFormat="1" applyFont="1" applyFill="1" applyBorder="1" applyAlignment="1">
      <alignment horizontal="center"/>
    </xf>
    <xf numFmtId="168" fontId="14" fillId="0" borderId="5" xfId="1" applyNumberFormat="1" applyFont="1" applyFill="1" applyBorder="1" applyAlignment="1">
      <alignment horizontal="center"/>
    </xf>
    <xf numFmtId="170" fontId="14" fillId="0" borderId="5" xfId="4" applyNumberFormat="1" applyFont="1" applyFill="1" applyBorder="1" applyAlignment="1">
      <alignment horizontal="center"/>
    </xf>
    <xf numFmtId="170" fontId="0" fillId="0" borderId="15" xfId="4" applyNumberFormat="1" applyFont="1" applyFill="1" applyBorder="1" applyAlignment="1">
      <alignment horizontal="center"/>
    </xf>
    <xf numFmtId="168" fontId="3" fillId="9" borderId="54" xfId="1" applyNumberFormat="1" applyFont="1" applyFill="1" applyBorder="1" applyAlignment="1">
      <alignment horizontal="center"/>
    </xf>
    <xf numFmtId="0" fontId="14" fillId="21" borderId="37" xfId="0" applyFont="1" applyFill="1" applyBorder="1"/>
    <xf numFmtId="164" fontId="3" fillId="9" borderId="24" xfId="4" applyNumberFormat="1" applyFont="1" applyFill="1" applyBorder="1" applyAlignment="1">
      <alignment horizontal="center" vertical="center"/>
    </xf>
    <xf numFmtId="164" fontId="3" fillId="9" borderId="24" xfId="4" applyNumberFormat="1" applyFont="1" applyFill="1" applyBorder="1" applyAlignment="1">
      <alignment horizontal="center"/>
    </xf>
    <xf numFmtId="168" fontId="3" fillId="9" borderId="24" xfId="1" applyNumberFormat="1" applyFont="1" applyFill="1" applyBorder="1" applyAlignment="1">
      <alignment horizontal="center"/>
    </xf>
    <xf numFmtId="170" fontId="3" fillId="9" borderId="24" xfId="4" applyNumberFormat="1" applyFont="1" applyFill="1" applyBorder="1" applyAlignment="1">
      <alignment horizontal="center"/>
    </xf>
    <xf numFmtId="0" fontId="14" fillId="0" borderId="15" xfId="0" applyFont="1" applyBorder="1"/>
    <xf numFmtId="1" fontId="14" fillId="0" borderId="15" xfId="0" applyNumberFormat="1" applyFont="1" applyBorder="1"/>
    <xf numFmtId="0" fontId="14" fillId="0" borderId="44" xfId="0" applyFont="1" applyBorder="1"/>
    <xf numFmtId="165" fontId="0" fillId="0" borderId="24" xfId="2" applyNumberFormat="1" applyFont="1" applyFill="1" applyBorder="1" applyAlignment="1">
      <alignment horizontal="center" vertical="center"/>
    </xf>
    <xf numFmtId="164" fontId="0" fillId="0" borderId="41" xfId="4" applyNumberFormat="1" applyFont="1" applyFill="1" applyBorder="1" applyAlignment="1">
      <alignment horizontal="center" vertical="center"/>
    </xf>
    <xf numFmtId="0" fontId="14" fillId="0" borderId="27" xfId="0" applyFont="1" applyBorder="1"/>
    <xf numFmtId="168" fontId="14" fillId="0" borderId="22" xfId="0" applyNumberFormat="1" applyFont="1" applyBorder="1"/>
    <xf numFmtId="165" fontId="17" fillId="0" borderId="26" xfId="0" applyNumberFormat="1" applyFont="1" applyBorder="1" applyAlignment="1">
      <alignment horizontal="center" vertical="center"/>
    </xf>
    <xf numFmtId="6" fontId="14" fillId="0" borderId="27" xfId="0" applyNumberFormat="1" applyFont="1" applyBorder="1"/>
    <xf numFmtId="165" fontId="17" fillId="0" borderId="15" xfId="0" applyNumberFormat="1" applyFont="1" applyBorder="1" applyAlignment="1">
      <alignment horizontal="center" vertical="center"/>
    </xf>
    <xf numFmtId="164" fontId="17" fillId="0" borderId="26" xfId="4" applyNumberFormat="1" applyFont="1" applyFill="1" applyBorder="1" applyAlignment="1">
      <alignment horizontal="center"/>
    </xf>
    <xf numFmtId="164" fontId="22" fillId="0" borderId="3" xfId="4" applyNumberFormat="1" applyFont="1" applyFill="1" applyBorder="1" applyAlignment="1">
      <alignment horizontal="center" vertical="center"/>
    </xf>
    <xf numFmtId="164" fontId="21" fillId="0" borderId="26" xfId="4" applyNumberFormat="1" applyFont="1" applyFill="1" applyBorder="1" applyAlignment="1">
      <alignment horizontal="center" vertical="center"/>
    </xf>
    <xf numFmtId="164" fontId="22" fillId="0" borderId="14" xfId="4" applyNumberFormat="1" applyFont="1" applyFill="1" applyBorder="1" applyAlignment="1">
      <alignment horizontal="center" vertical="center"/>
    </xf>
    <xf numFmtId="164" fontId="21" fillId="0" borderId="29" xfId="4" applyNumberFormat="1" applyFont="1" applyFill="1" applyBorder="1" applyAlignment="1">
      <alignment horizontal="center" vertical="center"/>
    </xf>
    <xf numFmtId="164" fontId="21" fillId="0" borderId="16" xfId="4" applyNumberFormat="1" applyFont="1" applyFill="1" applyBorder="1" applyAlignment="1">
      <alignment horizontal="center" vertical="center"/>
    </xf>
    <xf numFmtId="44" fontId="21" fillId="0" borderId="7" xfId="2" applyFont="1" applyFill="1" applyBorder="1" applyAlignment="1">
      <alignment horizontal="center" vertical="center"/>
    </xf>
    <xf numFmtId="44" fontId="21" fillId="0" borderId="6" xfId="2" applyFont="1" applyFill="1" applyBorder="1" applyAlignment="1">
      <alignment horizontal="center" vertical="center"/>
    </xf>
    <xf numFmtId="38" fontId="21" fillId="0" borderId="7" xfId="0" applyNumberFormat="1" applyFont="1" applyBorder="1" applyAlignment="1">
      <alignment horizontal="center" vertical="center"/>
    </xf>
    <xf numFmtId="38" fontId="21" fillId="0" borderId="6" xfId="0" applyNumberFormat="1" applyFont="1" applyBorder="1" applyAlignment="1">
      <alignment horizontal="center" vertical="center"/>
    </xf>
    <xf numFmtId="0" fontId="21" fillId="0" borderId="37" xfId="0" applyFont="1" applyBorder="1" applyAlignment="1">
      <alignment horizontal="center" vertical="center"/>
    </xf>
    <xf numFmtId="165" fontId="22" fillId="0" borderId="3" xfId="2" applyNumberFormat="1" applyFont="1" applyFill="1" applyBorder="1" applyAlignment="1">
      <alignment horizontal="center" vertical="center"/>
    </xf>
    <xf numFmtId="165" fontId="22" fillId="0" borderId="14" xfId="2" applyNumberFormat="1" applyFont="1" applyFill="1" applyBorder="1" applyAlignment="1">
      <alignment horizontal="center" vertical="center"/>
    </xf>
    <xf numFmtId="38" fontId="21" fillId="0" borderId="3" xfId="0" applyNumberFormat="1" applyFont="1" applyBorder="1" applyAlignment="1">
      <alignment horizontal="center" vertical="center"/>
    </xf>
    <xf numFmtId="38" fontId="21" fillId="0" borderId="14" xfId="0" applyNumberFormat="1" applyFont="1" applyBorder="1" applyAlignment="1">
      <alignment horizontal="center" vertical="center"/>
    </xf>
    <xf numFmtId="0" fontId="21" fillId="0" borderId="35" xfId="0" applyFont="1" applyBorder="1" applyAlignment="1">
      <alignment horizontal="center" vertical="center"/>
    </xf>
    <xf numFmtId="0" fontId="21" fillId="0" borderId="16" xfId="0" applyFont="1" applyBorder="1" applyAlignment="1">
      <alignment horizontal="center" vertical="center"/>
    </xf>
    <xf numFmtId="165" fontId="21" fillId="0" borderId="26" xfId="2" applyNumberFormat="1" applyFont="1" applyFill="1" applyBorder="1" applyAlignment="1">
      <alignment horizontal="center" vertical="center"/>
    </xf>
    <xf numFmtId="165" fontId="21" fillId="0" borderId="16" xfId="2" applyNumberFormat="1" applyFont="1" applyFill="1" applyBorder="1" applyAlignment="1">
      <alignment horizontal="center" vertical="center"/>
    </xf>
    <xf numFmtId="38" fontId="21" fillId="0" borderId="26" xfId="0" applyNumberFormat="1" applyFont="1" applyBorder="1" applyAlignment="1">
      <alignment horizontal="center" vertical="center"/>
    </xf>
    <xf numFmtId="38" fontId="21" fillId="0" borderId="16" xfId="0" applyNumberFormat="1" applyFont="1" applyBorder="1" applyAlignment="1">
      <alignment horizontal="center" vertical="center"/>
    </xf>
    <xf numFmtId="0" fontId="21" fillId="0" borderId="36" xfId="0" applyFont="1" applyBorder="1" applyAlignment="1">
      <alignment horizontal="center" vertical="center"/>
    </xf>
    <xf numFmtId="164" fontId="18" fillId="0" borderId="44" xfId="4" applyNumberFormat="1" applyFont="1" applyFill="1" applyBorder="1" applyAlignment="1">
      <alignment horizontal="center" vertical="center"/>
    </xf>
    <xf numFmtId="164" fontId="18" fillId="0" borderId="75" xfId="4" applyNumberFormat="1" applyFont="1" applyFill="1" applyBorder="1" applyAlignment="1">
      <alignment horizontal="center" vertical="center"/>
    </xf>
    <xf numFmtId="164" fontId="18" fillId="0" borderId="20" xfId="4" applyNumberFormat="1" applyFont="1" applyFill="1" applyBorder="1" applyAlignment="1">
      <alignment horizontal="center" vertical="center"/>
    </xf>
    <xf numFmtId="164" fontId="18" fillId="0" borderId="29" xfId="4" applyNumberFormat="1" applyFont="1" applyFill="1" applyBorder="1" applyAlignment="1">
      <alignment horizontal="center" vertical="center"/>
    </xf>
    <xf numFmtId="164" fontId="18" fillId="0" borderId="48" xfId="4" applyNumberFormat="1" applyFont="1" applyFill="1" applyBorder="1" applyAlignment="1">
      <alignment horizontal="center" vertical="center"/>
    </xf>
    <xf numFmtId="164" fontId="18" fillId="0" borderId="76" xfId="4" applyNumberFormat="1" applyFont="1" applyFill="1" applyBorder="1" applyAlignment="1">
      <alignment horizontal="center" vertical="center"/>
    </xf>
    <xf numFmtId="44" fontId="18" fillId="0" borderId="44" xfId="2" applyFont="1" applyFill="1" applyBorder="1" applyAlignment="1">
      <alignment horizontal="center" vertical="center"/>
    </xf>
    <xf numFmtId="44" fontId="18" fillId="0" borderId="58" xfId="2" applyFont="1" applyFill="1" applyBorder="1" applyAlignment="1">
      <alignment horizontal="center" vertical="center"/>
    </xf>
    <xf numFmtId="44" fontId="18" fillId="0" borderId="20" xfId="2" applyFont="1" applyFill="1" applyBorder="1" applyAlignment="1">
      <alignment horizontal="center" vertical="center"/>
    </xf>
    <xf numFmtId="44" fontId="18" fillId="0" borderId="16" xfId="2" applyFont="1" applyFill="1" applyBorder="1" applyAlignment="1">
      <alignment horizontal="center" vertical="center"/>
    </xf>
    <xf numFmtId="172" fontId="18" fillId="0" borderId="44" xfId="0" applyNumberFormat="1" applyFont="1" applyBorder="1" applyAlignment="1">
      <alignment horizontal="center" vertical="center"/>
    </xf>
    <xf numFmtId="172" fontId="18" fillId="0" borderId="58" xfId="0" applyNumberFormat="1" applyFont="1" applyBorder="1" applyAlignment="1">
      <alignment horizontal="center" vertical="center"/>
    </xf>
    <xf numFmtId="174" fontId="18" fillId="0" borderId="20" xfId="0" applyNumberFormat="1" applyFont="1" applyBorder="1" applyAlignment="1">
      <alignment horizontal="center" vertical="center"/>
    </xf>
    <xf numFmtId="172" fontId="18" fillId="0" borderId="16" xfId="0" applyNumberFormat="1" applyFont="1" applyBorder="1" applyAlignment="1">
      <alignment horizontal="center" vertical="center"/>
    </xf>
    <xf numFmtId="174" fontId="18" fillId="0" borderId="16" xfId="0" applyNumberFormat="1" applyFont="1" applyBorder="1" applyAlignment="1">
      <alignment horizontal="center" vertical="center"/>
    </xf>
    <xf numFmtId="172" fontId="18" fillId="0" borderId="20" xfId="0" applyNumberFormat="1" applyFont="1" applyBorder="1" applyAlignment="1">
      <alignment horizontal="center" vertical="center"/>
    </xf>
    <xf numFmtId="172" fontId="18" fillId="0" borderId="25" xfId="0" applyNumberFormat="1" applyFont="1" applyBorder="1" applyAlignment="1">
      <alignment horizontal="center" vertical="center"/>
    </xf>
    <xf numFmtId="0" fontId="18" fillId="0" borderId="19" xfId="0" applyFont="1" applyBorder="1" applyAlignment="1">
      <alignment horizontal="center" vertical="center"/>
    </xf>
    <xf numFmtId="44" fontId="18" fillId="0" borderId="17" xfId="2" applyFont="1" applyFill="1" applyBorder="1" applyAlignment="1">
      <alignment horizontal="center" vertical="center"/>
    </xf>
    <xf numFmtId="44" fontId="18" fillId="0" borderId="19" xfId="2" applyFont="1" applyFill="1" applyBorder="1" applyAlignment="1">
      <alignment horizontal="center" vertical="center"/>
    </xf>
    <xf numFmtId="170" fontId="18" fillId="0" borderId="19" xfId="0" applyNumberFormat="1" applyFont="1" applyBorder="1" applyAlignment="1">
      <alignment horizontal="center" vertical="center"/>
    </xf>
    <xf numFmtId="0" fontId="18" fillId="0" borderId="7" xfId="0" applyFont="1" applyBorder="1" applyAlignment="1">
      <alignment horizontal="center" vertical="center"/>
    </xf>
    <xf numFmtId="0" fontId="18" fillId="0" borderId="6" xfId="0" applyFont="1" applyBorder="1" applyAlignment="1">
      <alignment horizontal="center" vertical="center"/>
    </xf>
    <xf numFmtId="44" fontId="18" fillId="0" borderId="7" xfId="2" applyFont="1" applyFill="1" applyBorder="1" applyAlignment="1">
      <alignment horizontal="center" vertical="center"/>
    </xf>
    <xf numFmtId="44" fontId="18" fillId="0" borderId="6" xfId="2" applyFont="1" applyFill="1" applyBorder="1" applyAlignment="1">
      <alignment horizontal="center" vertical="center"/>
    </xf>
    <xf numFmtId="170" fontId="18" fillId="0" borderId="7" xfId="0" applyNumberFormat="1" applyFont="1" applyBorder="1" applyAlignment="1">
      <alignment horizontal="center" vertical="center"/>
    </xf>
    <xf numFmtId="170" fontId="18" fillId="0" borderId="6" xfId="0" applyNumberFormat="1" applyFont="1" applyBorder="1" applyAlignment="1">
      <alignment horizontal="center" vertical="center"/>
    </xf>
    <xf numFmtId="44" fontId="18" fillId="0" borderId="48" xfId="2" applyFont="1" applyFill="1" applyBorder="1" applyAlignment="1">
      <alignment horizontal="center" vertical="center"/>
    </xf>
    <xf numFmtId="44" fontId="18" fillId="0" borderId="76" xfId="2" applyFont="1" applyFill="1" applyBorder="1" applyAlignment="1">
      <alignment horizontal="center" vertical="center"/>
    </xf>
    <xf numFmtId="0" fontId="18" fillId="0" borderId="80" xfId="0" applyFont="1" applyBorder="1" applyAlignment="1">
      <alignment horizontal="center" vertical="center"/>
    </xf>
    <xf numFmtId="0" fontId="18" fillId="0" borderId="81" xfId="0" applyFont="1" applyBorder="1" applyAlignment="1">
      <alignment horizontal="center" vertical="center" wrapText="1"/>
    </xf>
    <xf numFmtId="0" fontId="39" fillId="4" borderId="40" xfId="0" applyFont="1" applyFill="1" applyBorder="1" applyAlignment="1">
      <alignment horizontal="center" vertical="center" wrapText="1"/>
    </xf>
    <xf numFmtId="0" fontId="39" fillId="4" borderId="58" xfId="0" applyFont="1" applyFill="1" applyBorder="1" applyAlignment="1">
      <alignment horizontal="center" vertical="center" wrapText="1"/>
    </xf>
    <xf numFmtId="172" fontId="18" fillId="0" borderId="52" xfId="0" applyNumberFormat="1" applyFont="1" applyBorder="1" applyAlignment="1">
      <alignment horizontal="center" vertical="center"/>
    </xf>
    <xf numFmtId="172" fontId="18" fillId="0" borderId="12" xfId="0" applyNumberFormat="1" applyFont="1" applyBorder="1" applyAlignment="1">
      <alignment horizontal="center" vertical="center"/>
    </xf>
    <xf numFmtId="164" fontId="18" fillId="0" borderId="82" xfId="4" applyNumberFormat="1" applyFont="1" applyBorder="1" applyAlignment="1">
      <alignment horizontal="center" vertical="center"/>
    </xf>
    <xf numFmtId="164" fontId="18" fillId="0" borderId="41" xfId="4" applyNumberFormat="1" applyFont="1" applyBorder="1" applyAlignment="1">
      <alignment horizontal="center" vertical="center"/>
    </xf>
    <xf numFmtId="170" fontId="18" fillId="5" borderId="57" xfId="4" applyNumberFormat="1" applyFont="1" applyFill="1" applyBorder="1" applyAlignment="1">
      <alignment horizontal="center" vertical="center"/>
    </xf>
    <xf numFmtId="0" fontId="3" fillId="5" borderId="53" xfId="4" applyNumberFormat="1" applyFont="1" applyFill="1" applyBorder="1" applyAlignment="1">
      <alignment horizontal="center"/>
    </xf>
    <xf numFmtId="3" fontId="61" fillId="21" borderId="37" xfId="0" applyNumberFormat="1" applyFont="1" applyFill="1" applyBorder="1"/>
    <xf numFmtId="3" fontId="61" fillId="21" borderId="33" xfId="0" applyNumberFormat="1" applyFont="1" applyFill="1" applyBorder="1"/>
    <xf numFmtId="3" fontId="61" fillId="21" borderId="35" xfId="0" applyNumberFormat="1" applyFont="1" applyFill="1" applyBorder="1"/>
    <xf numFmtId="3" fontId="61" fillId="0" borderId="37" xfId="0" applyNumberFormat="1" applyFont="1" applyBorder="1"/>
    <xf numFmtId="3" fontId="61" fillId="0" borderId="33" xfId="0" applyNumberFormat="1" applyFont="1" applyBorder="1"/>
    <xf numFmtId="3" fontId="61" fillId="0" borderId="35" xfId="0" applyNumberFormat="1" applyFont="1" applyBorder="1"/>
    <xf numFmtId="164" fontId="9" fillId="9" borderId="24" xfId="4" applyNumberFormat="1" applyFont="1" applyFill="1" applyBorder="1" applyAlignment="1">
      <alignment horizontal="center"/>
    </xf>
    <xf numFmtId="164" fontId="0" fillId="4" borderId="37" xfId="4" applyNumberFormat="1" applyFont="1" applyFill="1" applyBorder="1" applyAlignment="1">
      <alignment horizontal="center" vertical="center" wrapText="1"/>
    </xf>
    <xf numFmtId="164" fontId="3" fillId="5" borderId="34" xfId="4" applyNumberFormat="1" applyFont="1" applyFill="1" applyBorder="1" applyAlignment="1">
      <alignment horizontal="center"/>
    </xf>
    <xf numFmtId="164" fontId="3" fillId="5" borderId="53" xfId="4" applyNumberFormat="1" applyFont="1" applyFill="1" applyBorder="1" applyAlignment="1">
      <alignment horizontal="center"/>
    </xf>
    <xf numFmtId="164" fontId="3" fillId="11" borderId="18" xfId="4" applyNumberFormat="1" applyFont="1" applyFill="1" applyBorder="1" applyAlignment="1">
      <alignment horizontal="center"/>
    </xf>
    <xf numFmtId="0" fontId="65" fillId="0" borderId="0" xfId="0" applyFont="1"/>
    <xf numFmtId="0" fontId="18" fillId="5" borderId="31" xfId="0" applyFont="1" applyFill="1" applyBorder="1"/>
    <xf numFmtId="164" fontId="18" fillId="5" borderId="62" xfId="4" applyNumberFormat="1" applyFont="1" applyFill="1" applyBorder="1" applyAlignment="1"/>
    <xf numFmtId="164" fontId="18" fillId="11" borderId="31" xfId="4" applyNumberFormat="1" applyFont="1" applyFill="1" applyBorder="1" applyAlignment="1"/>
    <xf numFmtId="164" fontId="18" fillId="11" borderId="32" xfId="4" applyNumberFormat="1" applyFont="1" applyFill="1" applyBorder="1" applyAlignment="1"/>
    <xf numFmtId="44" fontId="18" fillId="5" borderId="31" xfId="2" applyFont="1" applyFill="1" applyBorder="1" applyAlignment="1">
      <alignment horizontal="center"/>
    </xf>
    <xf numFmtId="44" fontId="18" fillId="5" borderId="67" xfId="2" applyFont="1" applyFill="1" applyBorder="1" applyAlignment="1">
      <alignment horizontal="center"/>
    </xf>
    <xf numFmtId="170" fontId="18" fillId="11" borderId="31" xfId="4" applyNumberFormat="1" applyFont="1" applyFill="1" applyBorder="1" applyAlignment="1"/>
    <xf numFmtId="170" fontId="18" fillId="11" borderId="67" xfId="4" applyNumberFormat="1" applyFont="1" applyFill="1" applyBorder="1" applyAlignment="1"/>
    <xf numFmtId="0" fontId="44" fillId="0" borderId="78" xfId="0" applyFont="1" applyBorder="1"/>
    <xf numFmtId="0" fontId="2" fillId="0" borderId="78" xfId="0" applyFont="1" applyBorder="1"/>
    <xf numFmtId="0" fontId="68" fillId="0" borderId="0" xfId="0" applyFont="1"/>
    <xf numFmtId="0" fontId="67" fillId="0" borderId="0" xfId="0" applyFont="1" applyAlignment="1">
      <alignment vertical="center"/>
    </xf>
    <xf numFmtId="0" fontId="68" fillId="0" borderId="0" xfId="0" applyFont="1" applyAlignment="1">
      <alignment vertical="center"/>
    </xf>
    <xf numFmtId="0" fontId="70" fillId="0" borderId="0" xfId="0" applyFont="1" applyAlignment="1">
      <alignment vertical="center" wrapText="1"/>
    </xf>
    <xf numFmtId="0" fontId="68" fillId="0" borderId="0" xfId="0" applyFont="1" applyAlignment="1">
      <alignment wrapText="1"/>
    </xf>
    <xf numFmtId="0" fontId="70" fillId="0" borderId="0" xfId="0" applyFont="1" applyAlignment="1">
      <alignment horizontal="left" vertical="center" wrapText="1"/>
    </xf>
    <xf numFmtId="0" fontId="70" fillId="0" borderId="0" xfId="0" applyFont="1" applyAlignment="1">
      <alignment vertical="center"/>
    </xf>
    <xf numFmtId="0" fontId="71" fillId="0" borderId="0" xfId="0" applyFont="1" applyAlignment="1">
      <alignment vertical="center"/>
    </xf>
    <xf numFmtId="0" fontId="67" fillId="0" borderId="0" xfId="0" applyFont="1"/>
    <xf numFmtId="164" fontId="2" fillId="0" borderId="66" xfId="0" applyNumberFormat="1" applyFont="1" applyBorder="1"/>
    <xf numFmtId="0" fontId="14" fillId="0" borderId="18" xfId="0" applyFont="1" applyBorder="1"/>
    <xf numFmtId="9" fontId="3" fillId="21" borderId="18" xfId="1" applyFont="1" applyFill="1" applyBorder="1" applyAlignment="1"/>
    <xf numFmtId="165" fontId="3" fillId="21" borderId="18" xfId="2" applyNumberFormat="1" applyFont="1" applyFill="1" applyBorder="1" applyAlignment="1"/>
    <xf numFmtId="44" fontId="3" fillId="21" borderId="18" xfId="2" applyFont="1" applyFill="1" applyBorder="1" applyAlignment="1">
      <alignment horizontal="right"/>
    </xf>
    <xf numFmtId="164" fontId="3" fillId="21" borderId="18" xfId="4" applyNumberFormat="1" applyFont="1" applyFill="1" applyBorder="1" applyAlignment="1"/>
    <xf numFmtId="166" fontId="3" fillId="21" borderId="18" xfId="4" applyNumberFormat="1" applyFont="1" applyFill="1" applyBorder="1" applyAlignment="1">
      <alignment horizontal="right"/>
    </xf>
    <xf numFmtId="43" fontId="9" fillId="21" borderId="19" xfId="4" applyFont="1" applyFill="1" applyBorder="1" applyAlignment="1"/>
    <xf numFmtId="43" fontId="3" fillId="21" borderId="19" xfId="4" applyFont="1" applyFill="1" applyBorder="1" applyAlignment="1"/>
    <xf numFmtId="9" fontId="3" fillId="21" borderId="5" xfId="1" applyFont="1" applyFill="1" applyBorder="1" applyAlignment="1"/>
    <xf numFmtId="44" fontId="3" fillId="21" borderId="5" xfId="2" applyFont="1" applyFill="1" applyBorder="1" applyAlignment="1">
      <alignment horizontal="right"/>
    </xf>
    <xf numFmtId="166" fontId="3" fillId="21" borderId="5" xfId="4" applyNumberFormat="1" applyFont="1" applyFill="1" applyBorder="1" applyAlignment="1">
      <alignment horizontal="right"/>
    </xf>
    <xf numFmtId="43" fontId="3" fillId="21" borderId="6" xfId="4" applyFont="1" applyFill="1" applyBorder="1" applyAlignment="1"/>
    <xf numFmtId="164" fontId="11" fillId="21" borderId="15" xfId="4" applyNumberFormat="1" applyFont="1" applyFill="1" applyBorder="1" applyAlignment="1">
      <alignment horizontal="center"/>
    </xf>
    <xf numFmtId="170" fontId="11" fillId="21" borderId="15" xfId="4" applyNumberFormat="1" applyFont="1" applyFill="1" applyBorder="1" applyAlignment="1">
      <alignment horizontal="center"/>
    </xf>
    <xf numFmtId="164" fontId="9" fillId="21" borderId="36" xfId="4" applyNumberFormat="1" applyFont="1" applyFill="1" applyBorder="1" applyAlignment="1">
      <alignment horizontal="center"/>
    </xf>
    <xf numFmtId="170" fontId="9" fillId="21" borderId="5" xfId="4" applyNumberFormat="1" applyFont="1" applyFill="1" applyBorder="1" applyAlignment="1">
      <alignment horizontal="center"/>
    </xf>
    <xf numFmtId="164" fontId="3" fillId="21" borderId="15" xfId="4" applyNumberFormat="1" applyFont="1" applyFill="1" applyBorder="1" applyAlignment="1">
      <alignment horizontal="center"/>
    </xf>
    <xf numFmtId="170" fontId="3" fillId="21" borderId="15" xfId="4" applyNumberFormat="1" applyFont="1" applyFill="1" applyBorder="1" applyAlignment="1">
      <alignment horizontal="center"/>
    </xf>
    <xf numFmtId="164" fontId="0" fillId="21" borderId="20" xfId="4" applyNumberFormat="1" applyFont="1" applyFill="1" applyBorder="1" applyAlignment="1">
      <alignment horizontal="center" vertical="center"/>
    </xf>
    <xf numFmtId="164" fontId="0" fillId="21" borderId="21" xfId="4" applyNumberFormat="1" applyFont="1" applyFill="1" applyBorder="1" applyAlignment="1">
      <alignment horizontal="center" vertical="center"/>
    </xf>
    <xf numFmtId="164" fontId="11" fillId="21" borderId="24" xfId="4" applyNumberFormat="1" applyFont="1" applyFill="1" applyBorder="1" applyAlignment="1">
      <alignment horizontal="center"/>
    </xf>
    <xf numFmtId="170" fontId="11" fillId="21" borderId="24" xfId="4" applyNumberFormat="1" applyFont="1" applyFill="1" applyBorder="1" applyAlignment="1">
      <alignment horizontal="center"/>
    </xf>
    <xf numFmtId="170" fontId="0" fillId="21" borderId="62" xfId="4" applyNumberFormat="1" applyFont="1" applyFill="1" applyBorder="1" applyAlignment="1">
      <alignment horizontal="center"/>
    </xf>
    <xf numFmtId="164" fontId="11" fillId="21" borderId="62" xfId="4" applyNumberFormat="1" applyFont="1" applyFill="1" applyBorder="1" applyAlignment="1">
      <alignment horizontal="center"/>
    </xf>
    <xf numFmtId="170" fontId="11" fillId="21" borderId="67" xfId="4" applyNumberFormat="1" applyFont="1" applyFill="1" applyBorder="1" applyAlignment="1">
      <alignment horizontal="center"/>
    </xf>
    <xf numFmtId="164" fontId="3" fillId="21" borderId="54" xfId="4" applyNumberFormat="1" applyFont="1" applyFill="1" applyBorder="1" applyAlignment="1">
      <alignment horizontal="center"/>
    </xf>
    <xf numFmtId="164" fontId="3" fillId="21" borderId="64" xfId="4" applyNumberFormat="1" applyFont="1" applyFill="1" applyBorder="1" applyAlignment="1">
      <alignment horizontal="center"/>
    </xf>
    <xf numFmtId="170" fontId="3" fillId="21" borderId="54" xfId="4" applyNumberFormat="1" applyFont="1" applyFill="1" applyBorder="1" applyAlignment="1">
      <alignment horizontal="center"/>
    </xf>
    <xf numFmtId="164" fontId="3" fillId="21" borderId="18" xfId="4" applyNumberFormat="1" applyFont="1" applyFill="1" applyBorder="1" applyAlignment="1">
      <alignment horizontal="center"/>
    </xf>
    <xf numFmtId="170" fontId="3" fillId="21" borderId="18" xfId="4" applyNumberFormat="1" applyFont="1" applyFill="1" applyBorder="1" applyAlignment="1">
      <alignment horizontal="center"/>
    </xf>
    <xf numFmtId="164" fontId="0" fillId="21" borderId="37" xfId="4" applyNumberFormat="1" applyFont="1" applyFill="1" applyBorder="1" applyAlignment="1">
      <alignment horizontal="center" vertical="center" wrapText="1"/>
    </xf>
    <xf numFmtId="164" fontId="0" fillId="21" borderId="13" xfId="4" applyNumberFormat="1" applyFont="1" applyFill="1" applyBorder="1" applyAlignment="1">
      <alignment horizontal="center" vertical="center" wrapText="1"/>
    </xf>
    <xf numFmtId="164" fontId="0" fillId="21" borderId="15" xfId="4" applyNumberFormat="1" applyFont="1" applyFill="1" applyBorder="1" applyAlignment="1">
      <alignment horizontal="center" vertical="center" wrapText="1"/>
    </xf>
    <xf numFmtId="170" fontId="0" fillId="21" borderId="15" xfId="4" applyNumberFormat="1" applyFont="1" applyFill="1" applyBorder="1" applyAlignment="1">
      <alignment horizontal="center" vertical="center" wrapText="1"/>
    </xf>
    <xf numFmtId="164" fontId="3" fillId="21" borderId="34" xfId="4" applyNumberFormat="1" applyFont="1" applyFill="1" applyBorder="1" applyAlignment="1">
      <alignment horizontal="center"/>
    </xf>
    <xf numFmtId="164" fontId="3" fillId="21" borderId="24" xfId="4" applyNumberFormat="1" applyFont="1" applyFill="1" applyBorder="1" applyAlignment="1">
      <alignment horizontal="center"/>
    </xf>
    <xf numFmtId="170" fontId="3" fillId="21" borderId="24" xfId="4" applyNumberFormat="1" applyFont="1" applyFill="1" applyBorder="1" applyAlignment="1">
      <alignment horizontal="center"/>
    </xf>
    <xf numFmtId="164" fontId="14" fillId="21" borderId="77" xfId="4" applyNumberFormat="1" applyFont="1" applyFill="1" applyBorder="1" applyAlignment="1">
      <alignment horizontal="center"/>
    </xf>
    <xf numFmtId="170" fontId="14" fillId="21" borderId="62" xfId="4" applyNumberFormat="1" applyFont="1" applyFill="1" applyBorder="1" applyAlignment="1">
      <alignment horizontal="center"/>
    </xf>
    <xf numFmtId="164" fontId="25" fillId="21" borderId="62" xfId="4" applyNumberFormat="1" applyFont="1" applyFill="1" applyBorder="1" applyAlignment="1">
      <alignment horizontal="center"/>
    </xf>
    <xf numFmtId="170" fontId="25" fillId="21" borderId="67" xfId="4" applyNumberFormat="1" applyFont="1" applyFill="1" applyBorder="1" applyAlignment="1">
      <alignment horizontal="center"/>
    </xf>
    <xf numFmtId="164" fontId="14" fillId="21" borderId="33" xfId="4" applyNumberFormat="1" applyFont="1" applyFill="1" applyBorder="1" applyAlignment="1">
      <alignment horizontal="center"/>
    </xf>
    <xf numFmtId="170" fontId="17" fillId="21" borderId="15" xfId="4" applyNumberFormat="1" applyFont="1" applyFill="1" applyBorder="1" applyAlignment="1">
      <alignment horizontal="center"/>
    </xf>
    <xf numFmtId="164" fontId="47" fillId="21" borderId="18" xfId="4" applyNumberFormat="1" applyFont="1" applyFill="1" applyBorder="1" applyAlignment="1">
      <alignment horizontal="center"/>
    </xf>
    <xf numFmtId="170" fontId="47" fillId="21" borderId="18" xfId="4" applyNumberFormat="1" applyFont="1" applyFill="1" applyBorder="1" applyAlignment="1">
      <alignment horizontal="center"/>
    </xf>
    <xf numFmtId="164" fontId="14" fillId="21" borderId="35" xfId="4" applyNumberFormat="1" applyFont="1" applyFill="1" applyBorder="1" applyAlignment="1">
      <alignment horizontal="center"/>
    </xf>
    <xf numFmtId="170" fontId="14" fillId="21" borderId="15" xfId="4" applyNumberFormat="1" applyFont="1" applyFill="1" applyBorder="1" applyAlignment="1">
      <alignment horizontal="center"/>
    </xf>
    <xf numFmtId="164" fontId="25" fillId="21" borderId="15" xfId="4" applyNumberFormat="1" applyFont="1" applyFill="1" applyBorder="1" applyAlignment="1">
      <alignment horizontal="center"/>
    </xf>
    <xf numFmtId="170" fontId="25" fillId="21" borderId="15" xfId="4" applyNumberFormat="1" applyFont="1" applyFill="1" applyBorder="1" applyAlignment="1">
      <alignment horizontal="center"/>
    </xf>
    <xf numFmtId="164" fontId="14" fillId="21" borderId="36" xfId="4" applyNumberFormat="1" applyFont="1" applyFill="1" applyBorder="1" applyAlignment="1">
      <alignment horizontal="center"/>
    </xf>
    <xf numFmtId="170" fontId="14" fillId="21" borderId="5" xfId="4" applyNumberFormat="1" applyFont="1" applyFill="1" applyBorder="1" applyAlignment="1">
      <alignment horizontal="center"/>
    </xf>
    <xf numFmtId="164" fontId="3" fillId="21" borderId="53" xfId="4" applyNumberFormat="1" applyFont="1" applyFill="1" applyBorder="1" applyAlignment="1">
      <alignment horizontal="center"/>
    </xf>
    <xf numFmtId="170" fontId="3" fillId="21" borderId="49" xfId="4" applyNumberFormat="1" applyFont="1" applyFill="1" applyBorder="1" applyAlignment="1">
      <alignment horizontal="center"/>
    </xf>
    <xf numFmtId="164" fontId="0" fillId="21" borderId="77" xfId="4" applyNumberFormat="1" applyFont="1" applyFill="1" applyBorder="1" applyAlignment="1">
      <alignment horizontal="center" vertical="center" wrapText="1"/>
    </xf>
    <xf numFmtId="164" fontId="0" fillId="21" borderId="62" xfId="4" applyNumberFormat="1" applyFont="1" applyFill="1" applyBorder="1" applyAlignment="1">
      <alignment horizontal="center" vertical="center" wrapText="1"/>
    </xf>
    <xf numFmtId="164" fontId="0" fillId="21" borderId="37" xfId="4" applyNumberFormat="1" applyFont="1" applyFill="1" applyBorder="1" applyAlignment="1">
      <alignment horizontal="center"/>
    </xf>
    <xf numFmtId="164" fontId="0" fillId="21" borderId="13" xfId="4" applyNumberFormat="1" applyFont="1" applyFill="1" applyBorder="1" applyAlignment="1">
      <alignment horizontal="center"/>
    </xf>
    <xf numFmtId="164" fontId="0" fillId="21" borderId="15" xfId="4" applyNumberFormat="1" applyFont="1" applyFill="1" applyBorder="1" applyAlignment="1">
      <alignment horizontal="center"/>
    </xf>
    <xf numFmtId="170" fontId="0" fillId="21" borderId="15" xfId="4" applyNumberFormat="1" applyFont="1" applyFill="1" applyBorder="1" applyAlignment="1">
      <alignment horizontal="center"/>
    </xf>
    <xf numFmtId="164" fontId="0" fillId="21" borderId="35" xfId="4" applyNumberFormat="1" applyFont="1" applyFill="1" applyBorder="1" applyAlignment="1">
      <alignment horizontal="center"/>
    </xf>
    <xf numFmtId="164" fontId="9" fillId="21" borderId="5" xfId="4" applyNumberFormat="1" applyFont="1" applyFill="1" applyBorder="1" applyAlignment="1">
      <alignment horizontal="center"/>
    </xf>
    <xf numFmtId="164" fontId="0" fillId="21" borderId="67" xfId="4" applyNumberFormat="1" applyFont="1" applyFill="1" applyBorder="1" applyAlignment="1">
      <alignment horizontal="center" vertical="center" wrapText="1"/>
    </xf>
    <xf numFmtId="164" fontId="3" fillId="21" borderId="77" xfId="4" applyNumberFormat="1" applyFont="1" applyFill="1" applyBorder="1" applyAlignment="1">
      <alignment horizontal="center"/>
    </xf>
    <xf numFmtId="164" fontId="3" fillId="21" borderId="62" xfId="4" applyNumberFormat="1" applyFont="1" applyFill="1" applyBorder="1" applyAlignment="1">
      <alignment horizontal="center"/>
    </xf>
    <xf numFmtId="164" fontId="3" fillId="21" borderId="67" xfId="4" applyNumberFormat="1" applyFont="1" applyFill="1" applyBorder="1" applyAlignment="1">
      <alignment horizontal="center"/>
    </xf>
    <xf numFmtId="164" fontId="0" fillId="21" borderId="14" xfId="4" applyNumberFormat="1" applyFont="1" applyFill="1" applyBorder="1" applyAlignment="1">
      <alignment horizontal="center"/>
    </xf>
    <xf numFmtId="164" fontId="17" fillId="21" borderId="35" xfId="4" applyNumberFormat="1" applyFont="1" applyFill="1" applyBorder="1" applyAlignment="1">
      <alignment horizontal="center"/>
    </xf>
    <xf numFmtId="164" fontId="17" fillId="21" borderId="15" xfId="4" applyNumberFormat="1" applyFont="1" applyFill="1" applyBorder="1" applyAlignment="1">
      <alignment horizontal="center"/>
    </xf>
    <xf numFmtId="170" fontId="17" fillId="21" borderId="16" xfId="4" applyNumberFormat="1" applyFont="1" applyFill="1" applyBorder="1" applyAlignment="1"/>
    <xf numFmtId="164" fontId="3" fillId="21" borderId="36" xfId="4" applyNumberFormat="1" applyFont="1" applyFill="1" applyBorder="1" applyAlignment="1">
      <alignment horizontal="center"/>
    </xf>
    <xf numFmtId="164" fontId="3" fillId="21" borderId="5" xfId="4" applyNumberFormat="1" applyFont="1" applyFill="1" applyBorder="1" applyAlignment="1">
      <alignment horizontal="center"/>
    </xf>
    <xf numFmtId="164" fontId="0" fillId="21" borderId="14" xfId="4" applyNumberFormat="1" applyFont="1" applyFill="1" applyBorder="1" applyAlignment="1">
      <alignment horizontal="center" vertical="center" wrapText="1"/>
    </xf>
    <xf numFmtId="165" fontId="3" fillId="21" borderId="24" xfId="0" applyNumberFormat="1" applyFont="1" applyFill="1" applyBorder="1" applyAlignment="1">
      <alignment horizontal="center"/>
    </xf>
    <xf numFmtId="170" fontId="3" fillId="21" borderId="5" xfId="4" applyNumberFormat="1" applyFont="1" applyFill="1" applyBorder="1" applyAlignment="1">
      <alignment horizontal="center"/>
    </xf>
    <xf numFmtId="170" fontId="3" fillId="21" borderId="6" xfId="4" applyNumberFormat="1" applyFont="1" applyFill="1" applyBorder="1" applyAlignment="1">
      <alignment horizontal="center"/>
    </xf>
    <xf numFmtId="165" fontId="3" fillId="21" borderId="49" xfId="4" applyNumberFormat="1" applyFont="1" applyFill="1" applyBorder="1" applyAlignment="1">
      <alignment horizontal="center"/>
    </xf>
    <xf numFmtId="164" fontId="29" fillId="21" borderId="15" xfId="4" applyNumberFormat="1" applyFont="1" applyFill="1" applyBorder="1" applyAlignment="1"/>
    <xf numFmtId="9" fontId="29" fillId="21" borderId="15" xfId="1" applyFont="1" applyFill="1" applyBorder="1" applyAlignment="1"/>
    <xf numFmtId="164" fontId="29" fillId="21" borderId="15" xfId="4" applyNumberFormat="1" applyFont="1" applyFill="1" applyBorder="1"/>
    <xf numFmtId="9" fontId="29" fillId="21" borderId="15" xfId="1" applyFont="1" applyFill="1" applyBorder="1"/>
    <xf numFmtId="0" fontId="0" fillId="0" borderId="40" xfId="0" applyBorder="1" applyAlignment="1">
      <alignment horizontal="left" vertical="center"/>
    </xf>
    <xf numFmtId="0" fontId="6" fillId="4" borderId="41" xfId="0" applyFont="1" applyFill="1" applyBorder="1" applyAlignment="1">
      <alignment horizontal="center" vertical="center"/>
    </xf>
    <xf numFmtId="0" fontId="0" fillId="0" borderId="43" xfId="0" applyBorder="1" applyAlignment="1">
      <alignment horizontal="left" vertical="center" wrapText="1"/>
    </xf>
    <xf numFmtId="0" fontId="0" fillId="0" borderId="52" xfId="0" applyBorder="1" applyAlignment="1">
      <alignment horizontal="left" vertical="center" wrapText="1"/>
    </xf>
    <xf numFmtId="0" fontId="41" fillId="7" borderId="44" xfId="0" applyFont="1" applyFill="1" applyBorder="1" applyAlignment="1">
      <alignment horizontal="center" vertical="center" wrapText="1"/>
    </xf>
    <xf numFmtId="0" fontId="0" fillId="0" borderId="40" xfId="0" applyBorder="1" applyAlignment="1">
      <alignment horizontal="left" vertical="center"/>
    </xf>
    <xf numFmtId="0" fontId="0" fillId="0" borderId="10" xfId="0" applyBorder="1" applyAlignment="1">
      <alignment horizontal="left" vertical="center"/>
    </xf>
    <xf numFmtId="0" fontId="0" fillId="0" borderId="60" xfId="0" applyBorder="1" applyAlignment="1">
      <alignment horizontal="left" vertical="center"/>
    </xf>
    <xf numFmtId="0" fontId="6" fillId="4" borderId="0" xfId="0" applyFont="1" applyFill="1" applyAlignment="1">
      <alignment horizontal="center" vertical="center" wrapText="1"/>
    </xf>
    <xf numFmtId="0" fontId="6" fillId="4" borderId="72" xfId="0" applyFont="1" applyFill="1" applyBorder="1" applyAlignment="1">
      <alignment horizontal="center" vertical="center" wrapText="1"/>
    </xf>
    <xf numFmtId="0" fontId="6" fillId="4" borderId="41" xfId="0" applyFont="1" applyFill="1" applyBorder="1" applyAlignment="1">
      <alignment horizontal="center" vertical="center"/>
    </xf>
    <xf numFmtId="0" fontId="6" fillId="4" borderId="83" xfId="0" applyFont="1" applyFill="1" applyBorder="1" applyAlignment="1">
      <alignment horizontal="center" vertical="center"/>
    </xf>
    <xf numFmtId="0" fontId="6" fillId="4" borderId="63" xfId="0" applyFont="1" applyFill="1" applyBorder="1" applyAlignment="1">
      <alignment horizontal="center" vertical="center"/>
    </xf>
    <xf numFmtId="9" fontId="6" fillId="4" borderId="41" xfId="1" applyFont="1" applyFill="1" applyBorder="1" applyAlignment="1">
      <alignment horizontal="center" vertical="center"/>
    </xf>
    <xf numFmtId="9" fontId="6" fillId="4" borderId="63" xfId="1" applyFont="1" applyFill="1" applyBorder="1" applyAlignment="1">
      <alignment horizontal="center" vertical="center"/>
    </xf>
    <xf numFmtId="0" fontId="0" fillId="0" borderId="3" xfId="0" applyBorder="1" applyAlignment="1">
      <alignment horizontal="left" vertical="center"/>
    </xf>
    <xf numFmtId="0" fontId="0" fillId="0" borderId="26" xfId="0" applyBorder="1" applyAlignment="1">
      <alignment horizontal="left" vertical="center"/>
    </xf>
    <xf numFmtId="0" fontId="0" fillId="0" borderId="7" xfId="0" applyBorder="1" applyAlignment="1">
      <alignment horizontal="left" vertical="center"/>
    </xf>
    <xf numFmtId="0" fontId="0" fillId="0" borderId="46" xfId="0" applyBorder="1" applyAlignment="1">
      <alignment horizontal="left" vertical="center"/>
    </xf>
    <xf numFmtId="0" fontId="0" fillId="0" borderId="61" xfId="0" applyBorder="1" applyAlignment="1">
      <alignment horizontal="left" vertical="center"/>
    </xf>
    <xf numFmtId="0" fontId="0" fillId="0" borderId="69" xfId="0" applyBorder="1" applyAlignment="1">
      <alignment horizontal="left" vertical="center" wrapText="1"/>
    </xf>
    <xf numFmtId="0" fontId="0" fillId="0" borderId="43" xfId="0" applyBorder="1" applyAlignment="1">
      <alignment horizontal="left" vertical="center" wrapText="1"/>
    </xf>
    <xf numFmtId="0" fontId="0" fillId="0" borderId="9" xfId="0" applyBorder="1" applyAlignment="1">
      <alignment horizontal="left" vertical="center" wrapText="1"/>
    </xf>
    <xf numFmtId="0" fontId="0" fillId="0" borderId="44" xfId="0" applyBorder="1" applyAlignment="1">
      <alignment horizontal="left" vertical="center" wrapText="1"/>
    </xf>
    <xf numFmtId="0" fontId="0" fillId="0" borderId="52" xfId="0" applyBorder="1" applyAlignment="1">
      <alignment horizontal="left" vertical="center" wrapText="1"/>
    </xf>
    <xf numFmtId="0" fontId="0" fillId="0" borderId="0" xfId="0" applyAlignment="1">
      <alignment horizontal="center"/>
    </xf>
    <xf numFmtId="0" fontId="0" fillId="0" borderId="78" xfId="0" applyBorder="1" applyAlignment="1">
      <alignment horizontal="center"/>
    </xf>
    <xf numFmtId="165" fontId="0" fillId="19" borderId="29" xfId="2" applyNumberFormat="1" applyFont="1" applyFill="1" applyBorder="1" applyAlignment="1">
      <alignment horizontal="center"/>
    </xf>
    <xf numFmtId="165" fontId="0" fillId="19" borderId="21" xfId="2" applyNumberFormat="1" applyFont="1" applyFill="1" applyBorder="1" applyAlignment="1">
      <alignment horizontal="center"/>
    </xf>
    <xf numFmtId="165" fontId="0" fillId="19" borderId="35" xfId="2" applyNumberFormat="1" applyFont="1" applyFill="1" applyBorder="1" applyAlignment="1">
      <alignment horizontal="center"/>
    </xf>
    <xf numFmtId="0" fontId="6" fillId="4" borderId="38"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7" borderId="41" xfId="0" applyFont="1" applyFill="1" applyBorder="1" applyAlignment="1">
      <alignment horizontal="center" vertical="center"/>
    </xf>
    <xf numFmtId="0" fontId="6" fillId="7" borderId="83" xfId="0" applyFont="1" applyFill="1" applyBorder="1" applyAlignment="1">
      <alignment horizontal="center" vertical="center"/>
    </xf>
    <xf numFmtId="0" fontId="39" fillId="4" borderId="15" xfId="0" applyFont="1" applyFill="1" applyBorder="1" applyAlignment="1">
      <alignment horizontal="center" vertical="center" wrapText="1"/>
    </xf>
    <xf numFmtId="0" fontId="19" fillId="0" borderId="78" xfId="0" applyFont="1" applyBorder="1" applyAlignment="1">
      <alignment horizontal="center"/>
    </xf>
    <xf numFmtId="0" fontId="18" fillId="0" borderId="44" xfId="0" applyFont="1" applyBorder="1" applyAlignment="1">
      <alignment horizontal="left" vertical="center" wrapText="1"/>
    </xf>
    <xf numFmtId="0" fontId="18" fillId="0" borderId="52" xfId="0" applyFont="1" applyBorder="1" applyAlignment="1">
      <alignment horizontal="left" vertical="center" wrapText="1"/>
    </xf>
    <xf numFmtId="0" fontId="18" fillId="6" borderId="69" xfId="0" applyFont="1" applyFill="1" applyBorder="1" applyAlignment="1">
      <alignment horizontal="left" vertical="center"/>
    </xf>
    <xf numFmtId="0" fontId="18" fillId="6" borderId="9" xfId="0" applyFont="1" applyFill="1" applyBorder="1" applyAlignment="1">
      <alignment horizontal="left" vertical="center"/>
    </xf>
    <xf numFmtId="0" fontId="39" fillId="4" borderId="38" xfId="0" applyFont="1" applyFill="1" applyBorder="1" applyAlignment="1">
      <alignment horizontal="center" vertical="center" wrapText="1"/>
    </xf>
    <xf numFmtId="0" fontId="39" fillId="7" borderId="44" xfId="0" applyFont="1" applyFill="1" applyBorder="1" applyAlignment="1">
      <alignment horizontal="center" vertical="center" wrapText="1"/>
    </xf>
    <xf numFmtId="0" fontId="39" fillId="7" borderId="1" xfId="0" applyFont="1" applyFill="1" applyBorder="1" applyAlignment="1">
      <alignment horizontal="center" vertical="center" wrapText="1"/>
    </xf>
    <xf numFmtId="0" fontId="39" fillId="4" borderId="44" xfId="0" applyFont="1" applyFill="1" applyBorder="1" applyAlignment="1">
      <alignment horizontal="center" vertical="center"/>
    </xf>
    <xf numFmtId="0" fontId="39" fillId="4" borderId="1" xfId="0" applyFont="1" applyFill="1" applyBorder="1" applyAlignment="1">
      <alignment horizontal="center" vertical="center"/>
    </xf>
    <xf numFmtId="164" fontId="39" fillId="4" borderId="74" xfId="4" applyNumberFormat="1" applyFont="1" applyFill="1" applyBorder="1" applyAlignment="1">
      <alignment horizontal="center" vertical="center" wrapText="1"/>
    </xf>
    <xf numFmtId="164" fontId="39" fillId="4" borderId="39" xfId="4" applyNumberFormat="1" applyFont="1" applyFill="1" applyBorder="1" applyAlignment="1">
      <alignment horizontal="center" vertical="center" wrapText="1"/>
    </xf>
    <xf numFmtId="164" fontId="39" fillId="7" borderId="45" xfId="4" applyNumberFormat="1" applyFont="1" applyFill="1" applyBorder="1" applyAlignment="1">
      <alignment horizontal="center" vertical="center" wrapText="1"/>
    </xf>
    <xf numFmtId="164" fontId="39" fillId="7" borderId="39" xfId="4" applyNumberFormat="1" applyFont="1" applyFill="1" applyBorder="1" applyAlignment="1">
      <alignment horizontal="center" vertical="center" wrapText="1"/>
    </xf>
    <xf numFmtId="0" fontId="39" fillId="4" borderId="84" xfId="0" applyFont="1" applyFill="1" applyBorder="1" applyAlignment="1">
      <alignment horizontal="center" vertical="center" wrapText="1"/>
    </xf>
    <xf numFmtId="0" fontId="39" fillId="4" borderId="85" xfId="0" applyFont="1" applyFill="1" applyBorder="1" applyAlignment="1">
      <alignment horizontal="center" vertical="center" wrapText="1"/>
    </xf>
    <xf numFmtId="0" fontId="44" fillId="6" borderId="46" xfId="0" applyFont="1" applyFill="1" applyBorder="1" applyAlignment="1">
      <alignment horizontal="left" vertical="center"/>
    </xf>
    <xf numFmtId="0" fontId="44" fillId="6" borderId="47" xfId="0" applyFont="1" applyFill="1" applyBorder="1" applyAlignment="1">
      <alignment horizontal="left" vertical="center"/>
    </xf>
    <xf numFmtId="0" fontId="41" fillId="4" borderId="44" xfId="0" applyFont="1" applyFill="1" applyBorder="1" applyAlignment="1">
      <alignment horizontal="center" vertical="center" wrapText="1"/>
    </xf>
    <xf numFmtId="0" fontId="41" fillId="4" borderId="1" xfId="0" applyFont="1" applyFill="1" applyBorder="1" applyAlignment="1">
      <alignment horizontal="center" vertical="center" wrapText="1"/>
    </xf>
    <xf numFmtId="0" fontId="41" fillId="7" borderId="44" xfId="0" applyFont="1" applyFill="1" applyBorder="1" applyAlignment="1">
      <alignment horizontal="center" vertical="center" wrapText="1"/>
    </xf>
    <xf numFmtId="0" fontId="41" fillId="7" borderId="1" xfId="0" applyFont="1" applyFill="1" applyBorder="1" applyAlignment="1">
      <alignment horizontal="center" vertical="center" wrapText="1"/>
    </xf>
    <xf numFmtId="0" fontId="41" fillId="4" borderId="44" xfId="0" applyFont="1" applyFill="1" applyBorder="1" applyAlignment="1">
      <alignment horizontal="center" vertical="center"/>
    </xf>
    <xf numFmtId="0" fontId="41" fillId="4" borderId="1" xfId="0" applyFont="1" applyFill="1" applyBorder="1" applyAlignment="1">
      <alignment horizontal="center" vertical="center"/>
    </xf>
    <xf numFmtId="164" fontId="42" fillId="4" borderId="45" xfId="4" applyNumberFormat="1" applyFont="1" applyFill="1" applyBorder="1" applyAlignment="1">
      <alignment horizontal="center" vertical="center" wrapText="1"/>
    </xf>
    <xf numFmtId="164" fontId="42" fillId="4" borderId="70" xfId="4" applyNumberFormat="1" applyFont="1" applyFill="1" applyBorder="1" applyAlignment="1">
      <alignment horizontal="center" vertical="center" wrapText="1"/>
    </xf>
    <xf numFmtId="164" fontId="42" fillId="7" borderId="45" xfId="4" applyNumberFormat="1" applyFont="1" applyFill="1" applyBorder="1" applyAlignment="1">
      <alignment horizontal="center" vertical="center" wrapText="1"/>
    </xf>
    <xf numFmtId="164" fontId="42" fillId="7" borderId="70" xfId="4" applyNumberFormat="1" applyFont="1" applyFill="1" applyBorder="1" applyAlignment="1">
      <alignment horizontal="center" vertical="center" wrapText="1"/>
    </xf>
    <xf numFmtId="0" fontId="42" fillId="4" borderId="41" xfId="0" applyFont="1" applyFill="1" applyBorder="1" applyAlignment="1">
      <alignment horizontal="center" vertical="center" wrapText="1"/>
    </xf>
    <xf numFmtId="0" fontId="42" fillId="4" borderId="63" xfId="0" applyFont="1" applyFill="1" applyBorder="1" applyAlignment="1">
      <alignment horizontal="center" vertical="center" wrapText="1"/>
    </xf>
    <xf numFmtId="0" fontId="42" fillId="4" borderId="45" xfId="0" applyFont="1" applyFill="1" applyBorder="1" applyAlignment="1">
      <alignment horizontal="center" vertical="center" wrapText="1"/>
    </xf>
    <xf numFmtId="0" fontId="42" fillId="4" borderId="70" xfId="0" applyFont="1" applyFill="1" applyBorder="1" applyAlignment="1">
      <alignment horizontal="center" vertical="center" wrapText="1"/>
    </xf>
    <xf numFmtId="165" fontId="21" fillId="0" borderId="45" xfId="2" applyNumberFormat="1" applyFont="1" applyFill="1" applyBorder="1" applyAlignment="1">
      <alignment horizontal="center"/>
    </xf>
    <xf numFmtId="165" fontId="21" fillId="0" borderId="39" xfId="2" applyNumberFormat="1" applyFont="1" applyFill="1" applyBorder="1" applyAlignment="1">
      <alignment horizontal="center"/>
    </xf>
    <xf numFmtId="0" fontId="21" fillId="0" borderId="50" xfId="0" applyFont="1" applyBorder="1" applyAlignment="1">
      <alignment horizontal="left" vertical="center" wrapText="1"/>
    </xf>
    <xf numFmtId="0" fontId="21" fillId="0" borderId="20" xfId="0" applyFont="1" applyBorder="1" applyAlignment="1">
      <alignment horizontal="left" vertical="center" wrapText="1"/>
    </xf>
    <xf numFmtId="0" fontId="21" fillId="0" borderId="51" xfId="0" applyFont="1" applyBorder="1" applyAlignment="1">
      <alignment horizontal="left" vertical="center" wrapText="1"/>
    </xf>
    <xf numFmtId="0" fontId="8" fillId="4" borderId="15" xfId="0" applyFont="1" applyFill="1" applyBorder="1" applyAlignment="1">
      <alignment horizontal="center" vertical="center" wrapText="1"/>
    </xf>
    <xf numFmtId="0" fontId="8" fillId="4" borderId="48" xfId="0" applyFont="1" applyFill="1" applyBorder="1" applyAlignment="1">
      <alignment horizontal="center" vertical="center" wrapText="1"/>
    </xf>
    <xf numFmtId="0" fontId="8" fillId="4" borderId="55" xfId="0" applyFont="1" applyFill="1" applyBorder="1" applyAlignment="1">
      <alignment horizontal="center" vertical="center" wrapText="1"/>
    </xf>
    <xf numFmtId="0" fontId="51" fillId="0" borderId="0" xfId="10" applyFont="1" applyAlignment="1">
      <alignment horizontal="left" vertical="center" wrapText="1"/>
    </xf>
    <xf numFmtId="0" fontId="31" fillId="0" borderId="0" xfId="10" applyAlignment="1">
      <alignment horizontal="left" vertical="top" wrapText="1"/>
    </xf>
    <xf numFmtId="0" fontId="49" fillId="0" borderId="0" xfId="10" applyFont="1" applyAlignment="1">
      <alignment horizontal="left" vertical="top" wrapText="1"/>
    </xf>
    <xf numFmtId="0" fontId="31" fillId="0" borderId="0" xfId="10" applyAlignment="1">
      <alignment horizontal="left" wrapText="1"/>
    </xf>
    <xf numFmtId="0" fontId="45" fillId="18" borderId="29" xfId="10" applyFont="1" applyFill="1" applyBorder="1" applyAlignment="1">
      <alignment horizontal="center" vertical="center"/>
    </xf>
    <xf numFmtId="0" fontId="45" fillId="18" borderId="21" xfId="10" applyFont="1" applyFill="1" applyBorder="1" applyAlignment="1">
      <alignment horizontal="center" vertical="center"/>
    </xf>
    <xf numFmtId="0" fontId="45" fillId="18" borderId="35" xfId="10" applyFont="1" applyFill="1" applyBorder="1" applyAlignment="1">
      <alignment horizontal="center" vertical="center"/>
    </xf>
    <xf numFmtId="0" fontId="49" fillId="0" borderId="66" xfId="10" applyFont="1" applyBorder="1" applyAlignment="1">
      <alignment vertical="top" wrapText="1"/>
    </xf>
    <xf numFmtId="0" fontId="50" fillId="0" borderId="66" xfId="0" applyFont="1" applyBorder="1" applyAlignment="1">
      <alignment vertical="top"/>
    </xf>
  </cellXfs>
  <cellStyles count="15">
    <cellStyle name="Bad" xfId="8"/>
    <cellStyle name="Comma" xfId="4"/>
    <cellStyle name="Comma [0]" xfId="5"/>
    <cellStyle name="Currency" xfId="2"/>
    <cellStyle name="Currency [0]" xfId="3"/>
    <cellStyle name="Good" xfId="7"/>
    <cellStyle name="Hyperlink" xfId="11"/>
    <cellStyle name="Normal" xfId="0" builtinId="0"/>
    <cellStyle name="Normal 10 2" xfId="6"/>
    <cellStyle name="Normal 2" xfId="10"/>
    <cellStyle name="Normal 2 2" xfId="13"/>
    <cellStyle name="Normal 2 3" xfId="12"/>
    <cellStyle name="Normal 4" xfId="14"/>
    <cellStyle name="Normal_Revised Exhibit 1_021810_Eberts" xfId="9"/>
    <cellStyle name="Percen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400" b="0" i="0" u="none" baseline="0">
                <a:solidFill>
                  <a:schemeClr val="tx1">
                    <a:lumMod val="65000"/>
                    <a:lumOff val="35000"/>
                  </a:schemeClr>
                </a:solidFill>
                <a:latin typeface="+mn-lt"/>
                <a:ea typeface="+mn-lt"/>
                <a:cs typeface="+mn-lt"/>
              </a:rPr>
              <a:t>Annual Savings - Primary vs Secondary Metrics</a:t>
            </a:r>
          </a:p>
        </c:rich>
      </c:tx>
      <c:overlay val="0"/>
      <c:spPr>
        <a:noFill/>
        <a:ln>
          <a:noFill/>
        </a:ln>
        <a:effectLst/>
      </c:spPr>
    </c:title>
    <c:autoTitleDeleted val="0"/>
    <c:plotArea>
      <c:layout/>
      <c:barChart>
        <c:barDir val="col"/>
        <c:grouping val="clustered"/>
        <c:varyColors val="0"/>
        <c:ser>
          <c:idx val="0"/>
          <c:order val="0"/>
          <c:spPr>
            <a:solidFill>
              <a:schemeClr val="accent1"/>
            </a:solidFill>
            <a:ln>
              <a:noFill/>
            </a:ln>
            <a:effectLst/>
          </c:spPr>
          <c:invertIfNegative val="0"/>
          <c:dLbls>
            <c:dLbl>
              <c:idx val="0"/>
              <c:layout>
                <c:manualLayout>
                  <c:x val="-2.5000000000000001E-3"/>
                  <c:y val="0.2580000000000000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24A-415E-80F0-169F98E62CD0}"/>
                </c:ext>
              </c:extLst>
            </c:dLbl>
            <c:dLbl>
              <c:idx val="1"/>
              <c:layout>
                <c:manualLayout>
                  <c:x val="0"/>
                  <c:y val="0.2414999999999999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24A-415E-80F0-169F98E62CD0}"/>
                </c:ext>
              </c:extLst>
            </c:dLbl>
            <c:spPr>
              <a:solidFill>
                <a:schemeClr val="bg1"/>
              </a:solidFill>
              <a:ln>
                <a:noFill/>
              </a:ln>
              <a:effectLst/>
            </c:spPr>
            <c:txPr>
              <a:bodyPr rot="0" vert="horz"/>
              <a:lstStyle/>
              <a:p>
                <a:pPr algn="ctr">
                  <a:defRPr lang="en-US" sz="900" b="0" i="0" u="none" baseline="0">
                    <a:solidFill>
                      <a:schemeClr val="tx1">
                        <a:lumMod val="75000"/>
                        <a:lumOff val="2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solidFill>
                        <a:schemeClr val="tx1">
                          <a:lumMod val="35000"/>
                          <a:lumOff val="65000"/>
                        </a:schemeClr>
                      </a:solidFill>
                      <a:round/>
                    </a:ln>
                    <a:effectLst/>
                  </c:spPr>
                </c15:leaderLines>
              </c:ext>
            </c:extLst>
          </c:dLbls>
          <c:cat>
            <c:strRef>
              <c:f>'AP F -TRM Secondary Metrics'!$H$6:$I$6</c:f>
              <c:strCache>
                <c:ptCount val="2"/>
                <c:pt idx="0">
                  <c:v>Primary Metrics</c:v>
                </c:pt>
                <c:pt idx="1">
                  <c:v>Secondary Metrics</c:v>
                </c:pt>
              </c:strCache>
            </c:strRef>
          </c:cat>
          <c:val>
            <c:numRef>
              <c:f>'AP F -TRM Secondary Metrics'!$H$7:$I$7</c:f>
              <c:numCache>
                <c:formatCode>_(* #,##0_);_(* \(#,##0\);_(* "-"??_);_(@_)</c:formatCode>
                <c:ptCount val="2"/>
                <c:pt idx="0">
                  <c:v>0</c:v>
                </c:pt>
                <c:pt idx="1">
                  <c:v>0</c:v>
                </c:pt>
              </c:numCache>
            </c:numRef>
          </c:val>
          <c:extLst>
            <c:ext xmlns:c16="http://schemas.microsoft.com/office/drawing/2014/chart" uri="{C3380CC4-5D6E-409C-BE32-E72D297353CC}">
              <c16:uniqueId val="{00000000-03B7-4DD9-8F38-1FB06716EE98}"/>
            </c:ext>
          </c:extLst>
        </c:ser>
        <c:dLbls>
          <c:showLegendKey val="0"/>
          <c:showVal val="0"/>
          <c:showCatName val="0"/>
          <c:showSerName val="0"/>
          <c:showPercent val="0"/>
          <c:showBubbleSize val="0"/>
        </c:dLbls>
        <c:gapWidth val="219"/>
        <c:overlap val="-27"/>
        <c:axId val="38572353"/>
        <c:axId val="31068813"/>
      </c:barChart>
      <c:catAx>
        <c:axId val="38572353"/>
        <c:scaling>
          <c:orientation val="minMax"/>
        </c:scaling>
        <c:delete val="0"/>
        <c:axPos val="b"/>
        <c:numFmt formatCode="General" sourceLinked="1"/>
        <c:majorTickMark val="none"/>
        <c:minorTickMark val="none"/>
        <c:tickLblPos val="nextTo"/>
        <c:spPr>
          <a:noFill/>
          <a:ln w="9525" cap="flat" cmpd="sng">
            <a:solidFill>
              <a:schemeClr val="tx1">
                <a:lumMod val="15000"/>
                <a:lumOff val="85000"/>
              </a:schemeClr>
            </a:solidFill>
            <a:round/>
          </a:ln>
          <a:effectLst/>
        </c:spPr>
        <c:txPr>
          <a:bodyPr/>
          <a:lstStyle/>
          <a:p>
            <a:pPr>
              <a:defRPr lang="en-US" sz="900" b="0" i="0" u="none" baseline="0">
                <a:solidFill>
                  <a:schemeClr val="tx1">
                    <a:lumMod val="65000"/>
                    <a:lumOff val="35000"/>
                  </a:schemeClr>
                </a:solidFill>
              </a:defRPr>
            </a:pPr>
            <a:endParaRPr lang="en-US"/>
          </a:p>
        </c:txPr>
        <c:crossAx val="31068813"/>
        <c:crosses val="autoZero"/>
        <c:auto val="1"/>
        <c:lblAlgn val="ctr"/>
        <c:lblOffset val="100"/>
        <c:noMultiLvlLbl val="0"/>
      </c:catAx>
      <c:valAx>
        <c:axId val="31068813"/>
        <c:scaling>
          <c:orientation val="minMax"/>
          <c:min val="0"/>
        </c:scaling>
        <c:delete val="0"/>
        <c:axPos val="l"/>
        <c:majorGridlines>
          <c:spPr>
            <a:ln w="9525" cap="flat" cmpd="sng">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a:lstStyle/>
          <a:p>
            <a:pPr>
              <a:defRPr lang="en-US" sz="900" b="0" i="0" u="none" baseline="0">
                <a:solidFill>
                  <a:schemeClr val="tx1">
                    <a:lumMod val="65000"/>
                    <a:lumOff val="35000"/>
                  </a:schemeClr>
                </a:solidFill>
              </a:defRPr>
            </a:pPr>
            <a:endParaRPr lang="en-US"/>
          </a:p>
        </c:txPr>
        <c:crossAx val="38572353"/>
        <c:crosses val="autoZero"/>
        <c:crossBetween val="between"/>
      </c:valAx>
      <c:spPr>
        <a:noFill/>
        <a:ln>
          <a:noFill/>
        </a:ln>
        <a:effectLst/>
      </c:spPr>
    </c:plotArea>
    <c:plotVisOnly val="1"/>
    <c:dispBlanksAs val="gap"/>
    <c:showDLblsOverMax val="1"/>
  </c:chart>
  <c:spPr>
    <a:solidFill>
      <a:schemeClr val="bg1"/>
    </a:solidFill>
    <a:ln w="9525" cap="flat" cmpd="sng">
      <a:solidFill>
        <a:schemeClr val="tx1">
          <a:lumMod val="15000"/>
          <a:lumOff val="85000"/>
        </a:schemeClr>
      </a:solidFill>
      <a:round/>
    </a:ln>
    <a:effectLst/>
  </c:sp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cid:image003.png@01D8F439.3A0F15D0" TargetMode="External"/><Relationship Id="rId1" Type="http://schemas.openxmlformats.org/officeDocument/2006/relationships/image" Target="../media/image2.png"/><Relationship Id="rId6" Type="http://schemas.openxmlformats.org/officeDocument/2006/relationships/image" Target="cid:image006.png@01D8F439.3A0F15D0" TargetMode="External"/><Relationship Id="rId5" Type="http://schemas.openxmlformats.org/officeDocument/2006/relationships/image" Target="../media/image4.png"/><Relationship Id="rId4" Type="http://schemas.openxmlformats.org/officeDocument/2006/relationships/image" Target="cid:image005.png@01D8F439.3A0F15D0" TargetMode="External"/></Relationships>
</file>

<file path=xl/drawings/drawing1.xml><?xml version="1.0" encoding="utf-8"?>
<xdr:wsDr xmlns:xdr="http://schemas.openxmlformats.org/drawingml/2006/spreadsheetDrawing" xmlns:a="http://schemas.openxmlformats.org/drawingml/2006/main">
  <xdr:twoCellAnchor>
    <xdr:from>
      <xdr:col>3</xdr:col>
      <xdr:colOff>0</xdr:colOff>
      <xdr:row>30</xdr:row>
      <xdr:rowOff>0</xdr:rowOff>
    </xdr:from>
    <xdr:to>
      <xdr:col>12</xdr:col>
      <xdr:colOff>0</xdr:colOff>
      <xdr:row>59</xdr:row>
      <xdr:rowOff>78442</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419850" y="6991350"/>
          <a:ext cx="8991600" cy="5600700"/>
        </a:xfrm>
        <a:prstGeom prst="rect">
          <a:avLst/>
        </a:prstGeom>
        <a:solidFill>
          <a:schemeClr val="bg1"/>
        </a:solidFill>
        <a:ln w="9525" cmpd="sng">
          <a:solidFill>
            <a:schemeClr val="lt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lvl="0"/>
          <a:r>
            <a:rPr lang="en-US" sz="1100" b="1">
              <a:solidFill>
                <a:schemeClr val="dk1"/>
              </a:solidFill>
              <a:effectLst/>
              <a:latin typeface="+mn-lt"/>
              <a:ea typeface="+mn-ea"/>
              <a:cs typeface="+mn-cs"/>
            </a:rPr>
            <a:t>Reporting Plan: The utility shall provide a plan to comply with the following reporting requirements:</a:t>
          </a:r>
        </a:p>
        <a:p>
          <a:r>
            <a:rPr lang="en-US" sz="1100" b="1">
              <a:solidFill>
                <a:schemeClr val="dk1"/>
              </a:solidFill>
              <a:effectLst/>
              <a:latin typeface="+mn-lt"/>
              <a:ea typeface="+mn-ea"/>
              <a:cs typeface="+mn-cs"/>
            </a:rPr>
            <a:t> </a:t>
          </a:r>
          <a:endParaRPr lang="en-US" sz="1050" b="1">
            <a:solidFill>
              <a:schemeClr val="dk1"/>
            </a:solidFill>
            <a:effectLst/>
            <a:latin typeface="+mn-lt"/>
            <a:ea typeface="+mn-ea"/>
            <a:cs typeface="+mn-cs"/>
          </a:endParaRPr>
        </a:p>
        <a:p>
          <a:pPr lvl="1"/>
          <a:r>
            <a:rPr lang="en-US" sz="1100" b="1">
              <a:solidFill>
                <a:schemeClr val="dk1"/>
              </a:solidFill>
              <a:effectLst/>
              <a:latin typeface="+mn-lt"/>
              <a:ea typeface="+mn-ea"/>
              <a:cs typeface="+mn-cs"/>
            </a:rPr>
            <a:t>Quarterly progress reports: No later than 60 days following the end of each quarter, the utility shall submit a user-friendly, public report, with accompanying spreadsheet(s), that includes an overview of program performance, a narrative about customer participation and incentives paid, and results on the following program-level parameters compared to </a:t>
          </a:r>
          <a:r>
            <a:rPr lang="en-US" sz="1100" b="1">
              <a:solidFill>
                <a:srgbClr val="FF0000"/>
              </a:solidFill>
              <a:effectLst/>
              <a:latin typeface="+mn-lt"/>
              <a:ea typeface="+mn-ea"/>
              <a:cs typeface="+mn-cs"/>
            </a:rPr>
            <a:t>program projections and goals</a:t>
          </a:r>
          <a:r>
            <a:rPr lang="en-US" sz="1100" b="1">
              <a:solidFill>
                <a:schemeClr val="dk1"/>
              </a:solidFill>
              <a:effectLst/>
              <a:latin typeface="+mn-lt"/>
              <a:ea typeface="+mn-ea"/>
              <a:cs typeface="+mn-cs"/>
            </a:rPr>
            <a:t>:</a:t>
          </a:r>
        </a:p>
        <a:p>
          <a:r>
            <a:rPr lang="en-US" sz="1100" b="1">
              <a:solidFill>
                <a:schemeClr val="dk1"/>
              </a:solidFill>
              <a:effectLst/>
              <a:latin typeface="+mn-lt"/>
              <a:ea typeface="+mn-ea"/>
              <a:cs typeface="+mn-cs"/>
            </a:rPr>
            <a:t> </a:t>
          </a:r>
          <a:endParaRPr lang="en-US" sz="1050" b="1">
            <a:solidFill>
              <a:schemeClr val="dk1"/>
            </a:solidFill>
            <a:effectLst/>
            <a:latin typeface="+mn-lt"/>
            <a:ea typeface="+mn-ea"/>
            <a:cs typeface="+mn-cs"/>
          </a:endParaRPr>
        </a:p>
        <a:p>
          <a:pPr lvl="2"/>
          <a:r>
            <a:rPr lang="en-US" sz="1100" b="1">
              <a:solidFill>
                <a:schemeClr val="dk1"/>
              </a:solidFill>
              <a:effectLst/>
              <a:latin typeface="+mn-lt"/>
              <a:ea typeface="+mn-ea"/>
              <a:cs typeface="+mn-cs"/>
            </a:rPr>
            <a:t>Energy savings: gross and net savings</a:t>
          </a:r>
        </a:p>
        <a:p>
          <a:pPr lvl="2"/>
          <a:r>
            <a:rPr lang="en-US" sz="1100" b="1">
              <a:solidFill>
                <a:schemeClr val="dk1"/>
              </a:solidFill>
              <a:effectLst/>
              <a:latin typeface="+mn-lt"/>
              <a:ea typeface="+mn-ea"/>
              <a:cs typeface="+mn-cs"/>
            </a:rPr>
            <a:t>Number of program participants: total, low-income, moderate-income, and small commercial</a:t>
          </a:r>
        </a:p>
        <a:p>
          <a:pPr lvl="2"/>
          <a:r>
            <a:rPr lang="en-US" sz="1100" b="1">
              <a:solidFill>
                <a:schemeClr val="dk1"/>
              </a:solidFill>
              <a:effectLst/>
              <a:latin typeface="+mn-lt"/>
              <a:ea typeface="+mn-ea"/>
              <a:cs typeface="+mn-cs"/>
            </a:rPr>
            <a:t>Program expenditures</a:t>
          </a:r>
        </a:p>
        <a:p>
          <a:r>
            <a:rPr lang="en-US" sz="1100" b="1">
              <a:solidFill>
                <a:schemeClr val="dk1"/>
              </a:solidFill>
              <a:effectLst/>
              <a:latin typeface="+mn-lt"/>
              <a:ea typeface="+mn-ea"/>
              <a:cs typeface="+mn-cs"/>
            </a:rPr>
            <a:t> </a:t>
          </a:r>
          <a:endParaRPr lang="en-US" sz="1000" b="1">
            <a:solidFill>
              <a:schemeClr val="dk1"/>
            </a:solidFill>
            <a:effectLst/>
            <a:latin typeface="+mn-lt"/>
            <a:ea typeface="+mn-ea"/>
            <a:cs typeface="+mn-cs"/>
          </a:endParaRPr>
        </a:p>
        <a:p>
          <a:pPr lvl="1"/>
          <a:r>
            <a:rPr lang="en-US" sz="1100" b="1">
              <a:solidFill>
                <a:schemeClr val="dk1"/>
              </a:solidFill>
              <a:effectLst/>
              <a:latin typeface="+mn-lt"/>
              <a:ea typeface="+mn-ea"/>
              <a:cs typeface="+mn-cs"/>
            </a:rPr>
            <a:t>Annual progress reports: No later than 75 days following the end of each program year, the utility shall submit a user-friendly, public report, with accompanying spreadsheet(s), that includes the same program-level data and accompanying progress/performance narratives as those that are included in the quarterly reports. The annual report will show overall progress and performance of programs that are seasonal or cyclical in nature. In addition, the annual report shall include the utility program administrator’s initial and final benefit-cost test results for the programs and portfolio (as defined in Section V), assessment of the portfolio’s compliance with the targets established pursuant to the QPIs (as defined in Section VII), and any proposed changes or additions for the next year or cycle.</a:t>
          </a:r>
        </a:p>
        <a:p>
          <a:r>
            <a:rPr lang="en-US" sz="1100" b="1">
              <a:solidFill>
                <a:schemeClr val="dk1"/>
              </a:solidFill>
              <a:effectLst/>
              <a:latin typeface="+mn-lt"/>
              <a:ea typeface="+mn-ea"/>
              <a:cs typeface="+mn-cs"/>
            </a:rPr>
            <a:t> </a:t>
          </a:r>
          <a:endParaRPr lang="en-US" sz="1050" b="1">
            <a:solidFill>
              <a:schemeClr val="dk1"/>
            </a:solidFill>
            <a:effectLst/>
            <a:latin typeface="+mn-lt"/>
            <a:ea typeface="+mn-ea"/>
            <a:cs typeface="+mn-cs"/>
          </a:endParaRPr>
        </a:p>
        <a:p>
          <a:pPr lvl="1"/>
          <a:r>
            <a:rPr lang="en-US" sz="1100" b="1">
              <a:solidFill>
                <a:schemeClr val="dk1"/>
              </a:solidFill>
              <a:effectLst/>
              <a:latin typeface="+mn-lt"/>
              <a:ea typeface="+mn-ea"/>
              <a:cs typeface="+mn-cs"/>
            </a:rPr>
            <a:t>Triennial reports:</a:t>
          </a:r>
        </a:p>
        <a:p>
          <a:r>
            <a:rPr lang="en-US" sz="1100" b="1">
              <a:solidFill>
                <a:schemeClr val="dk1"/>
              </a:solidFill>
              <a:effectLst/>
              <a:latin typeface="+mn-lt"/>
              <a:ea typeface="+mn-ea"/>
              <a:cs typeface="+mn-cs"/>
            </a:rPr>
            <a:t> </a:t>
          </a:r>
          <a:endParaRPr lang="en-US" sz="1000" b="1">
            <a:solidFill>
              <a:schemeClr val="dk1"/>
            </a:solidFill>
            <a:effectLst/>
            <a:latin typeface="+mn-lt"/>
            <a:ea typeface="+mn-ea"/>
            <a:cs typeface="+mn-cs"/>
          </a:endParaRPr>
        </a:p>
        <a:p>
          <a:pPr lvl="2"/>
          <a:r>
            <a:rPr lang="en-US" sz="1100" b="1">
              <a:solidFill>
                <a:schemeClr val="dk1"/>
              </a:solidFill>
              <a:effectLst/>
              <a:latin typeface="+mn-lt"/>
              <a:ea typeface="+mn-ea"/>
              <a:cs typeface="+mn-cs"/>
            </a:rPr>
            <a:t>Progress reports: No later than 90 days following the end of the third program year, the utility shall submit a public report that takes the place of the annual report for that year. This report will be identical to the annual report but will also review the portfolio’s data and assess the portfolio’s success over the three-year program cycle.</a:t>
          </a:r>
        </a:p>
        <a:p>
          <a:r>
            <a:rPr lang="en-US" sz="1100" b="1">
              <a:solidFill>
                <a:schemeClr val="dk1"/>
              </a:solidFill>
              <a:effectLst/>
              <a:latin typeface="+mn-lt"/>
              <a:ea typeface="+mn-ea"/>
              <a:cs typeface="+mn-cs"/>
            </a:rPr>
            <a:t> </a:t>
          </a:r>
          <a:endParaRPr lang="en-US" sz="1050" b="1">
            <a:solidFill>
              <a:schemeClr val="dk1"/>
            </a:solidFill>
            <a:effectLst/>
            <a:latin typeface="+mn-lt"/>
            <a:ea typeface="+mn-ea"/>
            <a:cs typeface="+mn-cs"/>
          </a:endParaRPr>
        </a:p>
        <a:p>
          <a:pPr lvl="2"/>
          <a:r>
            <a:rPr lang="en-US" sz="1100" b="1">
              <a:solidFill>
                <a:schemeClr val="dk1"/>
              </a:solidFill>
              <a:effectLst/>
              <a:latin typeface="+mn-lt"/>
              <a:ea typeface="+mn-ea"/>
              <a:cs typeface="+mn-cs"/>
            </a:rPr>
            <a:t>Evaluation studies: No later than 365 days following the end of the third program year, the utility shall submit the process and impact evaluations pursuant to requirements issued by the Board.</a:t>
          </a:r>
        </a:p>
        <a:p>
          <a:pPr lvl="2"/>
          <a:endParaRPr lang="en-US" sz="1100" b="1">
            <a:solidFill>
              <a:schemeClr val="dk1"/>
            </a:solidFill>
            <a:effectLst/>
            <a:latin typeface="+mn-lt"/>
            <a:ea typeface="+mn-ea"/>
            <a:cs typeface="+mn-cs"/>
          </a:endParaRPr>
        </a:p>
        <a:p>
          <a:pPr lvl="2"/>
          <a:endParaRPr lang="en-US" sz="1100" b="1">
            <a:solidFill>
              <a:schemeClr val="dk1"/>
            </a:solidFill>
            <a:effectLst/>
            <a:latin typeface="+mn-lt"/>
            <a:ea typeface="+mn-ea"/>
            <a:cs typeface="+mn-cs"/>
          </a:endParaRPr>
        </a:p>
        <a:p>
          <a:pPr lvl="2"/>
          <a:endParaRPr lang="en-US" sz="1100" b="1">
            <a:solidFill>
              <a:schemeClr val="dk1"/>
            </a:solidFill>
            <a:effectLst/>
            <a:latin typeface="+mn-lt"/>
            <a:ea typeface="+mn-ea"/>
            <a:cs typeface="+mn-cs"/>
          </a:endParaRPr>
        </a:p>
        <a:p>
          <a:pPr lvl="2"/>
          <a:r>
            <a:rPr lang="en-US" sz="1100" b="1">
              <a:solidFill>
                <a:schemeClr val="dk1"/>
              </a:solidFill>
              <a:effectLst/>
              <a:latin typeface="+mn-lt"/>
              <a:ea typeface="+mn-ea"/>
              <a:cs typeface="+mn-cs"/>
            </a:rPr>
            <a:t>Notes:</a:t>
          </a:r>
        </a:p>
        <a:p>
          <a:pPr lvl="2"/>
          <a:r>
            <a:rPr lang="en-US" sz="1100" b="1">
              <a:solidFill>
                <a:schemeClr val="dk1"/>
              </a:solidFill>
              <a:effectLst/>
              <a:latin typeface="+mn-lt"/>
              <a:ea typeface="+mn-ea"/>
              <a:cs typeface="+mn-cs"/>
            </a:rPr>
            <a:t>NTG = 1, represent both net and gross values. </a:t>
          </a:r>
        </a:p>
        <a:p>
          <a:pPr lvl="2"/>
          <a:r>
            <a:rPr lang="en-US" sz="1100" b="1">
              <a:solidFill>
                <a:schemeClr val="dk1"/>
              </a:solidFill>
              <a:effectLst/>
              <a:latin typeface="+mn-lt"/>
              <a:ea typeface="+mn-ea"/>
              <a:cs typeface="+mn-cs"/>
            </a:rPr>
            <a:t>Ex-post savings - include gray out for quarterly?</a:t>
          </a:r>
        </a:p>
        <a:p>
          <a:pPr lvl="2"/>
          <a:r>
            <a:rPr lang="en-US" sz="1100" b="1">
              <a:solidFill>
                <a:schemeClr val="dk1"/>
              </a:solidFill>
              <a:effectLst/>
              <a:latin typeface="+mn-lt"/>
              <a:ea typeface="+mn-ea"/>
              <a:cs typeface="+mn-cs"/>
            </a:rPr>
            <a:t>Consider gas savings</a:t>
          </a:r>
        </a:p>
        <a:p>
          <a:pPr lvl="2"/>
          <a:r>
            <a:rPr lang="en-US" sz="1100" b="1">
              <a:solidFill>
                <a:schemeClr val="dk1"/>
              </a:solidFill>
              <a:effectLst/>
              <a:latin typeface="+mn-lt"/>
              <a:ea typeface="+mn-ea"/>
              <a:cs typeface="+mn-cs"/>
            </a:rPr>
            <a:t>Program IDs</a:t>
          </a:r>
        </a:p>
        <a:p>
          <a:pPr lvl="2"/>
          <a:r>
            <a:rPr lang="en-US" sz="1100" b="1">
              <a:solidFill>
                <a:schemeClr val="dk1"/>
              </a:solidFill>
              <a:effectLst/>
              <a:latin typeface="+mn-lt"/>
              <a:ea typeface="+mn-ea"/>
              <a:cs typeface="+mn-cs"/>
            </a:rPr>
            <a:t>QPIs separate table</a:t>
          </a:r>
        </a:p>
        <a:p>
          <a:pPr lvl="2"/>
          <a:r>
            <a:rPr lang="en-US" sz="1100" b="1">
              <a:solidFill>
                <a:schemeClr val="dk1"/>
              </a:solidFill>
              <a:effectLst/>
              <a:latin typeface="+mn-lt"/>
              <a:ea typeface="+mn-ea"/>
              <a:cs typeface="+mn-cs"/>
            </a:rPr>
            <a:t>Annual - incremental</a:t>
          </a:r>
        </a:p>
        <a:p>
          <a:pPr lvl="2"/>
          <a:r>
            <a:rPr lang="en-US" sz="1100" b="1">
              <a:solidFill>
                <a:schemeClr val="dk1"/>
              </a:solidFill>
              <a:effectLst/>
              <a:latin typeface="+mn-lt"/>
              <a:ea typeface="+mn-ea"/>
              <a:cs typeface="+mn-cs"/>
            </a:rPr>
            <a:t>Annual &amp; Triennial - more narrative </a:t>
          </a:r>
        </a:p>
        <a:p>
          <a:pPr lvl="2"/>
          <a:endParaRPr lang="en-US" sz="1100" b="1">
            <a:solidFill>
              <a:schemeClr val="dk1"/>
            </a:solidFill>
            <a:effectLst/>
            <a:latin typeface="+mn-lt"/>
            <a:ea typeface="+mn-ea"/>
            <a:cs typeface="+mn-cs"/>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6</xdr:col>
      <xdr:colOff>742950</xdr:colOff>
      <xdr:row>27</xdr:row>
      <xdr:rowOff>95250</xdr:rowOff>
    </xdr:from>
    <xdr:ext cx="4067175" cy="2286000"/>
    <xdr:pic>
      <xdr:nvPicPr>
        <xdr:cNvPr id="3" name="Picture 1">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a:stretch>
          <a:fillRect/>
        </a:stretch>
      </xdr:blipFill>
      <xdr:spPr>
        <a:xfrm>
          <a:off x="9544050" y="6105525"/>
          <a:ext cx="4067175" cy="2286000"/>
        </a:xfrm>
        <a:prstGeom prst="rect">
          <a:avLst/>
        </a:prstGeom>
        <a:ln>
          <a:noFill/>
        </a:ln>
      </xdr:spPr>
    </xdr:pic>
    <xdr:clientData/>
  </xdr:oneCellAnchor>
</xdr:wsDr>
</file>

<file path=xl/drawings/drawing3.xml><?xml version="1.0" encoding="utf-8"?>
<xdr:wsDr xmlns:xdr="http://schemas.openxmlformats.org/drawingml/2006/spreadsheetDrawing" xmlns:a="http://schemas.openxmlformats.org/drawingml/2006/main">
  <xdr:twoCellAnchor>
    <xdr:from>
      <xdr:col>6</xdr:col>
      <xdr:colOff>21981</xdr:colOff>
      <xdr:row>9</xdr:row>
      <xdr:rowOff>16852</xdr:rowOff>
    </xdr:from>
    <xdr:to>
      <xdr:col>12</xdr:col>
      <xdr:colOff>590550</xdr:colOff>
      <xdr:row>19</xdr:row>
      <xdr:rowOff>0</xdr:rowOff>
    </xdr:to>
    <xdr:graphicFrame macro="">
      <xdr:nvGraphicFramePr>
        <xdr:cNvPr id="5" name="Chart 1">
          <a:extLst>
            <a:ext uri="{FF2B5EF4-FFF2-40B4-BE49-F238E27FC236}">
              <a16:creationId xmlns:a16="http://schemas.microsoft.com/office/drawing/2014/main" id="{00000000-0008-0000-0E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85725</xdr:colOff>
      <xdr:row>5</xdr:row>
      <xdr:rowOff>19049</xdr:rowOff>
    </xdr:from>
    <xdr:to>
      <xdr:col>2</xdr:col>
      <xdr:colOff>3771900</xdr:colOff>
      <xdr:row>10</xdr:row>
      <xdr:rowOff>952499</xdr:rowOff>
    </xdr:to>
    <xdr:pic>
      <xdr:nvPicPr>
        <xdr:cNvPr id="2" name="Picture 1" descr="cid:image003.png@01D8F439.3A0F15D0">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tretch>
          <a:fillRect/>
        </a:stretch>
      </xdr:blipFill>
      <xdr:spPr bwMode="auto">
        <a:xfrm>
          <a:off x="5715000" y="1076325"/>
          <a:ext cx="3686175" cy="2428875"/>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47625</xdr:colOff>
      <xdr:row>18</xdr:row>
      <xdr:rowOff>57151</xdr:rowOff>
    </xdr:from>
    <xdr:to>
      <xdr:col>3</xdr:col>
      <xdr:colOff>3133725</xdr:colOff>
      <xdr:row>18</xdr:row>
      <xdr:rowOff>1600201</xdr:rowOff>
    </xdr:to>
    <xdr:pic>
      <xdr:nvPicPr>
        <xdr:cNvPr id="3" name="Picture 1" descr="cid:image005.png@01D8F439.3A0F15D0">
          <a:extLst>
            <a:ext uri="{FF2B5EF4-FFF2-40B4-BE49-F238E27FC236}">
              <a16:creationId xmlns:a16="http://schemas.microsoft.com/office/drawing/2014/main" id="{00000000-0008-0000-1300-000003000000}"/>
            </a:ext>
          </a:extLst>
        </xdr:cNvPr>
        <xdr:cNvPicPr>
          <a:picLocks noChangeAspect="1"/>
        </xdr:cNvPicPr>
      </xdr:nvPicPr>
      <xdr:blipFill>
        <a:blip xmlns:r="http://schemas.openxmlformats.org/officeDocument/2006/relationships" r:embed="rId3" r:link="rId4">
          <a:extLst>
            <a:ext uri="{28A0092B-C50C-407E-A947-70E740481C1C}">
              <a14:useLocalDpi xmlns:a14="http://schemas.microsoft.com/office/drawing/2010/main" val="0"/>
            </a:ext>
          </a:extLst>
        </a:blip>
        <a:stretch>
          <a:fillRect/>
        </a:stretch>
      </xdr:blipFill>
      <xdr:spPr bwMode="auto">
        <a:xfrm>
          <a:off x="295275" y="5248275"/>
          <a:ext cx="12515850" cy="15430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142875</xdr:colOff>
      <xdr:row>21</xdr:row>
      <xdr:rowOff>76202</xdr:rowOff>
    </xdr:from>
    <xdr:to>
      <xdr:col>3</xdr:col>
      <xdr:colOff>1400175</xdr:colOff>
      <xdr:row>29</xdr:row>
      <xdr:rowOff>265127</xdr:rowOff>
    </xdr:to>
    <xdr:pic>
      <xdr:nvPicPr>
        <xdr:cNvPr id="4" name="Picture 2" descr="cid:image006.png@01D8F439.3A0F15D0">
          <a:extLst>
            <a:ext uri="{FF2B5EF4-FFF2-40B4-BE49-F238E27FC236}">
              <a16:creationId xmlns:a16="http://schemas.microsoft.com/office/drawing/2014/main" id="{00000000-0008-0000-1300-000004000000}"/>
            </a:ext>
          </a:extLst>
        </xdr:cNvPr>
        <xdr:cNvPicPr>
          <a:picLocks noChangeAspect="1"/>
        </xdr:cNvPicPr>
      </xdr:nvPicPr>
      <xdr:blipFill>
        <a:blip xmlns:r="http://schemas.openxmlformats.org/officeDocument/2006/relationships" r:embed="rId5" r:link="rId6">
          <a:extLst>
            <a:ext uri="{28A0092B-C50C-407E-A947-70E740481C1C}">
              <a14:useLocalDpi xmlns:a14="http://schemas.microsoft.com/office/drawing/2010/main" val="0"/>
            </a:ext>
          </a:extLst>
        </a:blip>
        <a:stretch>
          <a:fillRect/>
        </a:stretch>
      </xdr:blipFill>
      <xdr:spPr bwMode="auto">
        <a:xfrm>
          <a:off x="5772150" y="7381875"/>
          <a:ext cx="5305425" cy="2828925"/>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4659260841701"/>
    <pageSetUpPr fitToPage="1"/>
  </sheetPr>
  <dimension ref="A1:Y30"/>
  <sheetViews>
    <sheetView workbookViewId="0"/>
  </sheetViews>
  <sheetFormatPr defaultColWidth="9.453125" defaultRowHeight="14.5" x14ac:dyDescent="0.35"/>
  <cols>
    <col min="1" max="1" width="13.453125" customWidth="1"/>
    <col min="2" max="2" width="46.453125" customWidth="1"/>
    <col min="3" max="3" width="36.453125" bestFit="1" customWidth="1"/>
    <col min="4" max="4" width="14.453125" style="2" customWidth="1"/>
    <col min="5" max="5" width="14.453125" style="3" customWidth="1"/>
    <col min="6" max="6" width="16.453125" customWidth="1"/>
    <col min="7" max="8" width="13.453125" style="4" customWidth="1"/>
    <col min="9" max="9" width="16.453125" style="5" customWidth="1"/>
    <col min="10" max="11" width="15.453125" customWidth="1"/>
    <col min="12" max="12" width="15.453125" style="2" customWidth="1"/>
    <col min="13" max="13" width="18.453125" style="3" customWidth="1"/>
    <col min="14" max="14" width="13.453125" style="3" customWidth="1"/>
    <col min="15" max="15" width="13.453125" customWidth="1"/>
    <col min="19" max="19" width="9.453125" customWidth="1"/>
  </cols>
  <sheetData>
    <row r="1" spans="1:14" ht="23.5" x14ac:dyDescent="0.55000000000000004">
      <c r="A1" s="1" t="s">
        <v>0</v>
      </c>
    </row>
    <row r="2" spans="1:14" x14ac:dyDescent="0.35">
      <c r="E2" s="97" t="s">
        <v>1</v>
      </c>
    </row>
    <row r="3" spans="1:14" ht="18.5" x14ac:dyDescent="0.45">
      <c r="A3" s="6">
        <v>1</v>
      </c>
      <c r="B3" s="6"/>
      <c r="C3" s="6"/>
      <c r="I3" s="4"/>
    </row>
    <row r="4" spans="1:14" ht="15" thickBot="1" x14ac:dyDescent="0.4"/>
    <row r="5" spans="1:14" ht="43.5" customHeight="1" thickBot="1" x14ac:dyDescent="0.4">
      <c r="A5" t="s">
        <v>2</v>
      </c>
      <c r="B5" s="934" t="s">
        <v>3</v>
      </c>
      <c r="C5" s="935"/>
      <c r="D5" s="936" t="s">
        <v>4</v>
      </c>
      <c r="E5" s="937"/>
      <c r="F5" s="938"/>
      <c r="G5" s="939" t="s">
        <v>5</v>
      </c>
      <c r="H5" s="940"/>
      <c r="I5" s="936" t="s">
        <v>6</v>
      </c>
      <c r="J5" s="937"/>
      <c r="K5" s="938"/>
      <c r="L5" s="927" t="s">
        <v>7</v>
      </c>
      <c r="M5" s="7" t="s">
        <v>8</v>
      </c>
      <c r="N5" s="8" t="s">
        <v>9</v>
      </c>
    </row>
    <row r="6" spans="1:14" ht="21" customHeight="1" x14ac:dyDescent="0.35">
      <c r="B6" s="934"/>
      <c r="C6" s="935"/>
      <c r="D6" s="101" t="s">
        <v>10</v>
      </c>
      <c r="E6" s="102" t="s">
        <v>11</v>
      </c>
      <c r="F6" s="103" t="s">
        <v>12</v>
      </c>
      <c r="G6" s="101" t="s">
        <v>13</v>
      </c>
      <c r="H6" s="103" t="s">
        <v>14</v>
      </c>
      <c r="I6" s="101" t="s">
        <v>15</v>
      </c>
      <c r="J6" s="102" t="s">
        <v>16</v>
      </c>
      <c r="K6" s="103"/>
      <c r="L6" s="9" t="s">
        <v>17</v>
      </c>
      <c r="M6" s="11" t="s">
        <v>18</v>
      </c>
      <c r="N6" s="10" t="s">
        <v>19</v>
      </c>
    </row>
    <row r="7" spans="1:14" ht="52.5" customHeight="1" thickBot="1" x14ac:dyDescent="0.4">
      <c r="B7" s="934"/>
      <c r="C7" s="935"/>
      <c r="D7" s="98" t="s">
        <v>20</v>
      </c>
      <c r="E7" s="12" t="s">
        <v>21</v>
      </c>
      <c r="F7" s="13" t="s">
        <v>22</v>
      </c>
      <c r="G7" s="14" t="s">
        <v>23</v>
      </c>
      <c r="H7" s="99" t="s">
        <v>24</v>
      </c>
      <c r="I7" s="14" t="s">
        <v>25</v>
      </c>
      <c r="J7" s="15" t="s">
        <v>26</v>
      </c>
      <c r="K7" s="100" t="s">
        <v>27</v>
      </c>
      <c r="L7" s="16" t="s">
        <v>28</v>
      </c>
      <c r="M7" s="17" t="s">
        <v>29</v>
      </c>
      <c r="N7" s="18" t="s">
        <v>30</v>
      </c>
    </row>
    <row r="8" spans="1:14" ht="15" thickBot="1" x14ac:dyDescent="0.4">
      <c r="B8" s="19" t="s">
        <v>31</v>
      </c>
      <c r="C8" s="106" t="s">
        <v>32</v>
      </c>
      <c r="D8" s="20"/>
      <c r="E8" s="20"/>
      <c r="F8" s="21"/>
      <c r="G8" s="22"/>
      <c r="H8" s="22"/>
      <c r="I8" s="23"/>
      <c r="J8" s="24"/>
      <c r="K8" s="24"/>
      <c r="L8" s="21"/>
      <c r="M8" s="25"/>
      <c r="N8" s="26"/>
    </row>
    <row r="9" spans="1:14" ht="15" thickBot="1" x14ac:dyDescent="0.4">
      <c r="B9" s="926" t="s">
        <v>33</v>
      </c>
      <c r="C9" s="107" t="s">
        <v>33</v>
      </c>
      <c r="D9" s="27"/>
      <c r="E9" s="28"/>
      <c r="F9" s="29"/>
      <c r="G9" s="30"/>
      <c r="H9" s="30"/>
      <c r="I9" s="104"/>
      <c r="J9" s="32" t="str">
        <f>IF(ISERROR(I9/(D9*1000)),"N/A",IF((I9/(D9*1000))&lt;0.01,"&lt;$0.01",(I9/(D9*1000))))</f>
        <v>N/A</v>
      </c>
      <c r="K9" s="32" t="str">
        <f t="shared" ref="K9:K14" si="0">IF(ISERROR(I9/(F9*1000)),"N/A",IF((I9/(F9*1000))&lt;0.01,"&lt;$0.01",(I9/(F9*1000))))</f>
        <v>N/A</v>
      </c>
      <c r="L9" s="29"/>
      <c r="M9" s="33" t="str">
        <f t="shared" ref="M9:M14" si="1">IF(ISERROR(F9/D9),"N/A",F9/D9)</f>
        <v>N/A</v>
      </c>
      <c r="N9" s="34"/>
    </row>
    <row r="10" spans="1:14" x14ac:dyDescent="0.35">
      <c r="B10" s="941" t="s">
        <v>34</v>
      </c>
      <c r="C10" s="107" t="s">
        <v>35</v>
      </c>
      <c r="D10" s="121"/>
      <c r="E10" s="120"/>
      <c r="F10" s="119"/>
      <c r="G10" s="122"/>
      <c r="H10" s="122"/>
      <c r="I10" s="123"/>
      <c r="J10" s="124"/>
      <c r="K10" s="124"/>
      <c r="L10" s="119"/>
      <c r="M10" s="125"/>
      <c r="N10" s="126"/>
    </row>
    <row r="11" spans="1:14" x14ac:dyDescent="0.35">
      <c r="B11" s="942"/>
      <c r="C11" s="108" t="s">
        <v>36</v>
      </c>
      <c r="D11" s="121"/>
      <c r="E11" s="120"/>
      <c r="F11" s="119"/>
      <c r="G11" s="122"/>
      <c r="H11" s="122"/>
      <c r="I11" s="123"/>
      <c r="J11" s="124"/>
      <c r="K11" s="124"/>
      <c r="L11" s="119"/>
      <c r="M11" s="125"/>
      <c r="N11" s="126"/>
    </row>
    <row r="12" spans="1:14" ht="15" thickBot="1" x14ac:dyDescent="0.4">
      <c r="B12" s="943"/>
      <c r="C12" s="109" t="s">
        <v>37</v>
      </c>
      <c r="D12" s="35"/>
      <c r="E12" s="35"/>
      <c r="F12" s="35"/>
      <c r="G12" s="36"/>
      <c r="H12" s="36"/>
      <c r="I12" s="105"/>
      <c r="J12" s="38" t="str">
        <f t="shared" ref="J12:J14" si="2">IF(ISERROR(I12/(D12*1000)),"N/A",IF((I12/(D12*1000))&lt;0.01,"&lt;$0.01",(I12/(D12*1000))))</f>
        <v>N/A</v>
      </c>
      <c r="K12" s="40" t="str">
        <f t="shared" si="0"/>
        <v>N/A</v>
      </c>
      <c r="L12" s="35"/>
      <c r="M12" s="41" t="str">
        <f t="shared" si="1"/>
        <v>N/A</v>
      </c>
      <c r="N12" s="39"/>
    </row>
    <row r="13" spans="1:14" ht="20.25" customHeight="1" thickBot="1" x14ac:dyDescent="0.4">
      <c r="B13" s="110" t="s">
        <v>38</v>
      </c>
      <c r="C13" s="111" t="s">
        <v>39</v>
      </c>
      <c r="D13" s="43"/>
      <c r="E13" s="43"/>
      <c r="F13" s="43"/>
      <c r="G13" s="44"/>
      <c r="H13" s="44"/>
      <c r="I13" s="45"/>
      <c r="J13" s="46" t="str">
        <f t="shared" si="2"/>
        <v>N/A</v>
      </c>
      <c r="K13" s="46" t="str">
        <f t="shared" si="0"/>
        <v>N/A</v>
      </c>
      <c r="L13" s="43"/>
      <c r="M13" s="47" t="str">
        <f t="shared" si="1"/>
        <v>N/A</v>
      </c>
      <c r="N13" s="48"/>
    </row>
    <row r="14" spans="1:14" x14ac:dyDescent="0.35">
      <c r="B14" s="54" t="s">
        <v>40</v>
      </c>
      <c r="C14" s="112"/>
      <c r="D14" s="55"/>
      <c r="E14" s="56"/>
      <c r="F14" s="55"/>
      <c r="G14" s="847"/>
      <c r="H14" s="847"/>
      <c r="I14" s="848"/>
      <c r="J14" s="849" t="str">
        <f t="shared" si="2"/>
        <v>N/A</v>
      </c>
      <c r="K14" s="849" t="str">
        <f t="shared" si="0"/>
        <v>N/A</v>
      </c>
      <c r="L14" s="850"/>
      <c r="M14" s="851" t="str">
        <f t="shared" si="1"/>
        <v>N/A</v>
      </c>
      <c r="N14" s="852"/>
    </row>
    <row r="15" spans="1:14" x14ac:dyDescent="0.35">
      <c r="B15" s="57"/>
      <c r="C15" s="58"/>
      <c r="D15" s="58"/>
      <c r="E15" s="58"/>
      <c r="F15" s="58"/>
      <c r="G15" s="58"/>
      <c r="H15" s="58"/>
      <c r="I15" s="58"/>
      <c r="J15" s="58"/>
      <c r="K15" s="58"/>
      <c r="L15" s="58"/>
      <c r="M15" s="58"/>
      <c r="N15" s="59"/>
    </row>
    <row r="16" spans="1:14" ht="15" thickBot="1" x14ac:dyDescent="0.4">
      <c r="B16" s="60" t="s">
        <v>41</v>
      </c>
      <c r="C16" s="113"/>
      <c r="D16" s="61"/>
      <c r="E16" s="61"/>
      <c r="F16" s="61"/>
      <c r="G16" s="62"/>
      <c r="H16" s="62"/>
      <c r="I16" s="63"/>
      <c r="J16" s="64"/>
      <c r="K16" s="64"/>
      <c r="L16" s="61"/>
      <c r="M16" s="65"/>
      <c r="N16" s="66"/>
    </row>
    <row r="17" spans="2:25" ht="15" thickBot="1" x14ac:dyDescent="0.4">
      <c r="B17" s="114" t="s">
        <v>42</v>
      </c>
      <c r="C17" s="111" t="s">
        <v>43</v>
      </c>
      <c r="D17" s="27"/>
      <c r="E17" s="28"/>
      <c r="F17" s="49"/>
      <c r="G17" s="49"/>
      <c r="H17" s="49"/>
      <c r="I17" s="31"/>
      <c r="J17" s="67"/>
      <c r="K17" s="50"/>
      <c r="L17" s="29"/>
      <c r="M17" s="51"/>
      <c r="N17" s="52"/>
    </row>
    <row r="18" spans="2:25" ht="19.5" customHeight="1" thickBot="1" x14ac:dyDescent="0.4">
      <c r="B18" s="931" t="s">
        <v>44</v>
      </c>
      <c r="C18" s="107" t="s">
        <v>45</v>
      </c>
      <c r="D18" s="27"/>
      <c r="E18" s="28"/>
      <c r="F18" s="49"/>
      <c r="G18" s="49"/>
      <c r="H18" s="49"/>
      <c r="I18" s="31"/>
      <c r="J18" s="67"/>
      <c r="K18" s="50"/>
      <c r="L18" s="29"/>
      <c r="M18" s="51"/>
      <c r="N18" s="52"/>
    </row>
    <row r="19" spans="2:25" x14ac:dyDescent="0.35">
      <c r="B19" s="932"/>
      <c r="C19" s="108" t="s">
        <v>46</v>
      </c>
      <c r="D19" s="27"/>
      <c r="E19" s="28"/>
      <c r="F19" s="49"/>
      <c r="G19" s="49"/>
      <c r="H19" s="49"/>
      <c r="I19" s="31"/>
      <c r="J19" s="67" t="str">
        <f>IF(ISERROR(I19/(D19*1000)),"N/A",IF((I19/(D19*1000))&lt;0.01,"&lt;$0.01",(I19/(D19*1000))))</f>
        <v>N/A</v>
      </c>
      <c r="K19" s="50" t="str">
        <f>IF(ISERROR(I19/(F19*1000)),"N/A",IF((I19/(F19*1000))&lt;0.01,"&lt;$0.01",(I19/(F19*1000))))</f>
        <v>N/A</v>
      </c>
      <c r="L19" s="29"/>
      <c r="M19" s="51" t="str">
        <f>IF(ISERROR(F19/D19),"N/A",F19/D19)</f>
        <v>N/A</v>
      </c>
      <c r="N19" s="52"/>
    </row>
    <row r="20" spans="2:25" ht="15" thickBot="1" x14ac:dyDescent="0.4">
      <c r="B20" s="933"/>
      <c r="C20" s="109" t="s">
        <v>47</v>
      </c>
      <c r="D20" s="53"/>
      <c r="E20" s="53"/>
      <c r="F20" s="43"/>
      <c r="G20" s="44"/>
      <c r="H20" s="44"/>
      <c r="I20" s="45"/>
      <c r="J20" s="68" t="str">
        <f>IF(ISERROR(I20/(D20*1000)),"N/A",IF((I20/(D20*1000))&lt;0.01,"&lt;$0.01",(I20/(D20*1000))))</f>
        <v>N/A</v>
      </c>
      <c r="K20" s="46" t="str">
        <f>IF(ISERROR(I20/(F20*1000)),"N/A",IF((I20/(F20*1000))&lt;0.01,"&lt;$0.01",(I20/(F20*1000))))</f>
        <v>N/A</v>
      </c>
      <c r="L20" s="43"/>
      <c r="M20" s="47" t="str">
        <f>IF(ISERROR(F20/D20),"N/A",F20/D20)</f>
        <v>N/A</v>
      </c>
      <c r="N20" s="48"/>
    </row>
    <row r="21" spans="2:25" s="93" customFormat="1" x14ac:dyDescent="0.35">
      <c r="B21" s="54" t="s">
        <v>48</v>
      </c>
      <c r="C21" s="112"/>
      <c r="D21" s="55"/>
      <c r="E21" s="56"/>
      <c r="F21" s="55"/>
      <c r="G21" s="847"/>
      <c r="H21" s="847"/>
      <c r="I21" s="69"/>
      <c r="J21" s="70" t="str">
        <f>IF(ISERROR(I21/(D21*1000)),"N/A",IF((I21/(D21*1000))&lt;0.01,"&lt;$0.01",(I21/(D21*1000))))</f>
        <v>N/A</v>
      </c>
      <c r="K21" s="849" t="str">
        <f>IF(ISERROR(I21/(F21*1000)),"N/A",IF((I21/(F21*1000))&lt;0.01,"&lt;$0.01",(I21/(F21*1000))))</f>
        <v>N/A</v>
      </c>
      <c r="L21" s="55"/>
      <c r="M21" s="851" t="str">
        <f>IF(ISERROR(F21/D21),"N/A",F21/D21)</f>
        <v>N/A</v>
      </c>
      <c r="N21" s="853"/>
      <c r="O21"/>
      <c r="P21"/>
      <c r="Q21"/>
      <c r="R21"/>
      <c r="S21"/>
      <c r="T21"/>
      <c r="U21"/>
      <c r="V21"/>
      <c r="W21"/>
      <c r="X21"/>
      <c r="Y21"/>
    </row>
    <row r="22" spans="2:25" x14ac:dyDescent="0.35">
      <c r="B22" s="57"/>
      <c r="C22" s="58"/>
      <c r="D22" s="58"/>
      <c r="E22" s="58"/>
      <c r="F22" s="58"/>
      <c r="G22" s="58"/>
      <c r="H22" s="58"/>
      <c r="I22" s="58"/>
      <c r="J22" s="58"/>
      <c r="K22" s="58"/>
      <c r="L22" s="58"/>
      <c r="M22" s="58"/>
      <c r="N22" s="59"/>
    </row>
    <row r="23" spans="2:25" x14ac:dyDescent="0.35">
      <c r="B23" s="71" t="s">
        <v>49</v>
      </c>
      <c r="C23" s="115"/>
      <c r="D23" s="72"/>
      <c r="E23" s="72"/>
      <c r="F23" s="72"/>
      <c r="G23" s="72"/>
      <c r="H23" s="72"/>
      <c r="I23" s="72"/>
      <c r="J23" s="72"/>
      <c r="K23" s="72"/>
      <c r="L23" s="72"/>
      <c r="M23" s="72"/>
      <c r="N23" s="73"/>
    </row>
    <row r="24" spans="2:25" x14ac:dyDescent="0.35">
      <c r="B24" s="74" t="s">
        <v>50</v>
      </c>
      <c r="C24" s="116"/>
      <c r="D24" s="75"/>
      <c r="E24" s="75"/>
      <c r="F24" s="76"/>
      <c r="G24" s="77"/>
      <c r="H24" s="77"/>
      <c r="I24" s="78"/>
      <c r="J24" s="79"/>
      <c r="K24" s="79"/>
      <c r="L24" s="76"/>
      <c r="M24" s="80"/>
      <c r="N24" s="81"/>
    </row>
    <row r="25" spans="2:25" x14ac:dyDescent="0.35">
      <c r="B25" s="82" t="s">
        <v>51</v>
      </c>
      <c r="C25" s="117"/>
      <c r="D25" s="42"/>
      <c r="E25" s="42"/>
      <c r="F25" s="36"/>
      <c r="G25" s="36"/>
      <c r="H25" s="36"/>
      <c r="I25" s="37"/>
      <c r="J25" s="38" t="str">
        <f>IF(ISERROR(I25/(D25*1000)),"N/A",IF((I25/(D25*1000))&lt;0.01,"&lt;$0.01",(I25/(D25*1000))))</f>
        <v>N/A</v>
      </c>
      <c r="K25" s="40" t="str">
        <f>IF(ISERROR(I25/(F25*1000)),"N/A",IF((I25/(F25*1000))&lt;0.01,"&lt;$0.01",(I25/(F25*1000))))</f>
        <v>N/A</v>
      </c>
      <c r="L25" s="35"/>
      <c r="M25" s="41" t="str">
        <f>IF(ISERROR(F25/D25),"N/A",F25/D25)</f>
        <v>N/A</v>
      </c>
      <c r="N25" s="39"/>
    </row>
    <row r="26" spans="2:25" x14ac:dyDescent="0.35">
      <c r="B26" s="74" t="s">
        <v>52</v>
      </c>
      <c r="C26" s="116"/>
      <c r="D26" s="76"/>
      <c r="E26" s="83"/>
      <c r="F26" s="84"/>
      <c r="G26" s="84"/>
      <c r="H26" s="84"/>
      <c r="I26" s="78"/>
      <c r="J26" s="85" t="str">
        <f>IF(ISERROR(I26/(D26*1000)),"N/A",IF((I26/(D26*1000))&lt;0.01,"&lt;$0.01",(I26/(D26*1000))))</f>
        <v>N/A</v>
      </c>
      <c r="K26" s="85" t="str">
        <f>IF(ISERROR(I26/(F26*1000)),"N/A",IF((I26/(F26*1000))&lt;0.01,"&lt;$0.01",(I26/(F26*1000))))</f>
        <v>N/A</v>
      </c>
      <c r="L26" s="76"/>
      <c r="M26" s="86" t="str">
        <f>IF(ISERROR(F26/D26),"N/A",F26/D26)</f>
        <v>N/A</v>
      </c>
      <c r="N26" s="87"/>
    </row>
    <row r="27" spans="2:25" x14ac:dyDescent="0.35">
      <c r="B27" s="57"/>
      <c r="C27" s="58"/>
      <c r="D27" s="58"/>
      <c r="E27" s="58"/>
      <c r="F27" s="58"/>
      <c r="G27" s="58"/>
      <c r="H27" s="58"/>
      <c r="I27" s="58"/>
      <c r="J27" s="58"/>
      <c r="K27" s="58"/>
      <c r="L27" s="58"/>
      <c r="M27" s="58"/>
      <c r="N27" s="59"/>
    </row>
    <row r="28" spans="2:25" ht="15" thickBot="1" x14ac:dyDescent="0.4">
      <c r="B28" s="88" t="s">
        <v>53</v>
      </c>
      <c r="C28" s="118"/>
      <c r="D28" s="89"/>
      <c r="E28" s="90"/>
      <c r="F28" s="89"/>
      <c r="G28" s="854"/>
      <c r="H28" s="854"/>
      <c r="I28" s="91"/>
      <c r="J28" s="92" t="str">
        <f>IF(ISERROR(I28/(D28*1000)),"N/A",IF((I28/(D28*1000))&lt;0.01,"&lt;$0.01",(I28/(D28*1000))))</f>
        <v>N/A</v>
      </c>
      <c r="K28" s="855" t="str">
        <f>IF(ISERROR(I28/(F28*1000)),"N/A",IF((I28/(F28*1000))&lt;0.01,"&lt;$0.01",(I28/(F28*1000))))</f>
        <v>N/A</v>
      </c>
      <c r="L28" s="89"/>
      <c r="M28" s="856" t="str">
        <f t="shared" ref="M28" si="3">IF(ISERROR(F28/D28),"N/A",F28/D28)</f>
        <v>N/A</v>
      </c>
      <c r="N28" s="857"/>
    </row>
    <row r="29" spans="2:25" ht="15" thickBot="1" x14ac:dyDescent="0.4">
      <c r="B29" s="88" t="s">
        <v>54</v>
      </c>
      <c r="C29" s="89"/>
      <c r="D29" s="89"/>
      <c r="E29" s="90"/>
      <c r="F29" s="89"/>
      <c r="G29" s="854"/>
      <c r="H29" s="854"/>
      <c r="I29" s="91"/>
      <c r="J29" s="92"/>
      <c r="K29" s="855"/>
      <c r="L29" s="89"/>
      <c r="M29" s="856"/>
      <c r="N29" s="857"/>
    </row>
    <row r="30" spans="2:25" x14ac:dyDescent="0.35">
      <c r="B30" s="93"/>
      <c r="C30" s="93"/>
      <c r="D30" s="93"/>
      <c r="E30" s="93"/>
      <c r="F30" s="93"/>
      <c r="G30" s="93"/>
      <c r="H30" s="94"/>
      <c r="I30" s="95"/>
      <c r="J30" s="93"/>
      <c r="K30" s="93"/>
      <c r="L30" s="96"/>
      <c r="M30" s="97"/>
      <c r="N30" s="97"/>
      <c r="O30" s="93"/>
      <c r="P30" s="93"/>
      <c r="Q30" s="93"/>
      <c r="R30" s="93"/>
      <c r="S30" s="93"/>
      <c r="T30" s="93"/>
      <c r="U30" s="93"/>
      <c r="V30" s="93"/>
      <c r="W30" s="93"/>
      <c r="X30" s="93"/>
      <c r="Y30" s="93"/>
    </row>
  </sheetData>
  <mergeCells count="6">
    <mergeCell ref="B18:B20"/>
    <mergeCell ref="B5:C7"/>
    <mergeCell ref="D5:F5"/>
    <mergeCell ref="G5:H5"/>
    <mergeCell ref="I5:K5"/>
    <mergeCell ref="B10:B12"/>
  </mergeCells>
  <pageMargins left="0.25" right="0.25" top="0.75" bottom="0.75" header="0.3" footer="0.3"/>
  <pageSetup scale="1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4659260841701"/>
    <pageSetUpPr fitToPage="1"/>
  </sheetPr>
  <dimension ref="A1:AM73"/>
  <sheetViews>
    <sheetView tabSelected="1" zoomScale="80" zoomScaleNormal="80" workbookViewId="0">
      <selection activeCell="F2" sqref="F2"/>
    </sheetView>
  </sheetViews>
  <sheetFormatPr defaultColWidth="9.453125" defaultRowHeight="14.5" x14ac:dyDescent="0.35"/>
  <cols>
    <col min="1" max="1" width="4.453125" customWidth="1"/>
    <col min="2" max="2" width="42.453125" customWidth="1"/>
    <col min="3" max="3" width="40.7265625" customWidth="1"/>
    <col min="4" max="4" width="15.26953125" bestFit="1" customWidth="1"/>
    <col min="5" max="8" width="13.453125" customWidth="1"/>
    <col min="9" max="9" width="24" customWidth="1"/>
    <col min="10" max="13" width="13.453125" customWidth="1"/>
    <col min="14" max="16" width="14.453125" style="2" customWidth="1"/>
    <col min="17" max="17" width="14.453125" style="3" customWidth="1"/>
    <col min="18" max="18" width="14.453125" customWidth="1"/>
    <col min="19" max="19" width="16.453125" hidden="1" customWidth="1"/>
    <col min="20" max="20" width="16.453125" style="5" hidden="1" customWidth="1"/>
    <col min="21" max="22" width="16.453125" hidden="1" customWidth="1"/>
    <col min="23" max="23" width="15.453125" style="2" customWidth="1"/>
    <col min="24" max="24" width="24.453125" style="2" customWidth="1"/>
    <col min="25" max="25" width="31.453125" bestFit="1" customWidth="1"/>
    <col min="27" max="27" width="6.26953125" bestFit="1" customWidth="1"/>
    <col min="29" max="29" width="48.26953125" bestFit="1" customWidth="1"/>
    <col min="30" max="32" width="9.453125" hidden="1" customWidth="1"/>
    <col min="33" max="33" width="9.26953125" bestFit="1" customWidth="1"/>
  </cols>
  <sheetData>
    <row r="1" spans="1:35" ht="23.5" x14ac:dyDescent="0.55000000000000004">
      <c r="A1" s="1" t="s">
        <v>0</v>
      </c>
      <c r="D1" s="682"/>
      <c r="E1" s="682"/>
      <c r="F1" s="682"/>
      <c r="G1" s="682"/>
      <c r="P1" s="500"/>
      <c r="S1" s="951"/>
      <c r="T1" s="951"/>
      <c r="U1" s="951"/>
      <c r="V1" s="951"/>
      <c r="W1" s="145"/>
      <c r="X1" s="145"/>
    </row>
    <row r="2" spans="1:35" x14ac:dyDescent="0.35">
      <c r="D2" s="682"/>
      <c r="E2" s="682"/>
      <c r="F2" s="682"/>
      <c r="G2" s="682"/>
      <c r="S2" s="951"/>
      <c r="T2" s="951"/>
      <c r="U2" s="951"/>
      <c r="V2" s="951"/>
      <c r="W2" s="145"/>
      <c r="X2" s="145"/>
    </row>
    <row r="3" spans="1:35" ht="19" thickBot="1" x14ac:dyDescent="0.5">
      <c r="A3" s="6"/>
      <c r="B3" s="6" t="s">
        <v>55</v>
      </c>
      <c r="C3" s="650" t="s">
        <v>56</v>
      </c>
      <c r="I3" s="6"/>
      <c r="J3" s="6"/>
      <c r="K3" s="6"/>
      <c r="L3" s="6"/>
      <c r="M3" s="6"/>
      <c r="Q3" s="93"/>
      <c r="S3" s="952"/>
      <c r="T3" s="952"/>
      <c r="U3" s="952"/>
      <c r="V3" s="952"/>
      <c r="W3" s="145"/>
      <c r="X3" s="145"/>
    </row>
    <row r="4" spans="1:35" ht="15" thickBot="1" x14ac:dyDescent="0.4">
      <c r="A4" t="s">
        <v>2</v>
      </c>
      <c r="B4" s="554"/>
      <c r="C4" s="138"/>
      <c r="D4" s="956" t="s">
        <v>7</v>
      </c>
      <c r="E4" s="956"/>
      <c r="F4" s="956"/>
      <c r="G4" s="957"/>
      <c r="H4" s="958" t="s">
        <v>6</v>
      </c>
      <c r="I4" s="959"/>
      <c r="J4" s="959"/>
      <c r="K4" s="959"/>
      <c r="L4" s="937" t="s">
        <v>57</v>
      </c>
      <c r="M4" s="937"/>
      <c r="N4" s="937"/>
      <c r="O4" s="937"/>
      <c r="P4" s="937"/>
      <c r="Q4" s="937"/>
      <c r="R4" s="937"/>
      <c r="S4" s="953" t="s">
        <v>58</v>
      </c>
      <c r="T4" s="954"/>
      <c r="U4" s="954"/>
      <c r="V4" s="955"/>
      <c r="W4" s="153"/>
      <c r="X4" s="153"/>
    </row>
    <row r="5" spans="1:35" x14ac:dyDescent="0.35">
      <c r="B5" s="555"/>
      <c r="C5" s="141"/>
      <c r="D5" s="139" t="s">
        <v>10</v>
      </c>
      <c r="E5" s="127" t="s">
        <v>11</v>
      </c>
      <c r="F5" s="127" t="s">
        <v>12</v>
      </c>
      <c r="G5" s="127" t="s">
        <v>59</v>
      </c>
      <c r="H5" s="134" t="s">
        <v>14</v>
      </c>
      <c r="I5" s="135" t="s">
        <v>15</v>
      </c>
      <c r="J5" s="135" t="s">
        <v>60</v>
      </c>
      <c r="K5" s="135" t="s">
        <v>61</v>
      </c>
      <c r="L5" s="131" t="s">
        <v>17</v>
      </c>
      <c r="M5" s="131" t="s">
        <v>62</v>
      </c>
      <c r="N5" s="9" t="s">
        <v>19</v>
      </c>
      <c r="O5" s="131" t="s">
        <v>63</v>
      </c>
      <c r="P5" s="131" t="s">
        <v>64</v>
      </c>
      <c r="Q5" s="127" t="s">
        <v>65</v>
      </c>
      <c r="R5" s="155" t="s">
        <v>66</v>
      </c>
      <c r="S5" s="101" t="s">
        <v>67</v>
      </c>
      <c r="T5" s="258" t="s">
        <v>68</v>
      </c>
      <c r="U5" s="258" t="s">
        <v>69</v>
      </c>
      <c r="V5" s="102" t="s">
        <v>70</v>
      </c>
      <c r="W5" s="145"/>
      <c r="X5" s="145"/>
      <c r="Y5" s="256"/>
      <c r="Z5" s="256"/>
      <c r="AA5" s="256"/>
      <c r="AB5" s="256"/>
    </row>
    <row r="6" spans="1:35" ht="58.5" thickBot="1" x14ac:dyDescent="0.4">
      <c r="B6" s="556"/>
      <c r="C6" s="140"/>
      <c r="D6" s="142" t="s">
        <v>71</v>
      </c>
      <c r="E6" s="143" t="s">
        <v>72</v>
      </c>
      <c r="F6" s="143" t="s">
        <v>73</v>
      </c>
      <c r="G6" s="143" t="s">
        <v>74</v>
      </c>
      <c r="H6" s="136" t="s">
        <v>75</v>
      </c>
      <c r="I6" s="137" t="s">
        <v>76</v>
      </c>
      <c r="J6" s="137" t="s">
        <v>77</v>
      </c>
      <c r="K6" s="137" t="s">
        <v>78</v>
      </c>
      <c r="L6" s="132" t="s">
        <v>79</v>
      </c>
      <c r="M6" s="132" t="s">
        <v>80</v>
      </c>
      <c r="N6" s="319" t="s">
        <v>81</v>
      </c>
      <c r="O6" s="133" t="s">
        <v>82</v>
      </c>
      <c r="P6" s="133" t="s">
        <v>83</v>
      </c>
      <c r="Q6" s="12" t="s">
        <v>84</v>
      </c>
      <c r="R6" s="133" t="s">
        <v>85</v>
      </c>
      <c r="S6" s="261" t="s">
        <v>86</v>
      </c>
      <c r="T6" s="260" t="s">
        <v>87</v>
      </c>
      <c r="U6" s="261" t="s">
        <v>88</v>
      </c>
      <c r="V6" s="260" t="s">
        <v>89</v>
      </c>
      <c r="W6" s="145"/>
      <c r="X6" s="367"/>
      <c r="Y6" s="339"/>
      <c r="AA6" s="518" t="s">
        <v>90</v>
      </c>
      <c r="AB6" s="518" t="s">
        <v>91</v>
      </c>
      <c r="AC6" s="518" t="s">
        <v>92</v>
      </c>
      <c r="AD6" s="519" t="s">
        <v>93</v>
      </c>
      <c r="AE6" s="519" t="s">
        <v>94</v>
      </c>
      <c r="AF6" s="519" t="s">
        <v>95</v>
      </c>
      <c r="AG6" s="519" t="s">
        <v>93</v>
      </c>
      <c r="AH6" s="519" t="s">
        <v>94</v>
      </c>
      <c r="AI6" s="519" t="s">
        <v>95</v>
      </c>
    </row>
    <row r="7" spans="1:35" ht="17" thickBot="1" x14ac:dyDescent="0.4">
      <c r="B7" s="159" t="s">
        <v>31</v>
      </c>
      <c r="C7" s="228" t="s">
        <v>96</v>
      </c>
      <c r="D7" s="171"/>
      <c r="E7" s="172"/>
      <c r="F7" s="173"/>
      <c r="G7" s="193"/>
      <c r="H7" s="171"/>
      <c r="I7" s="172"/>
      <c r="J7" s="173"/>
      <c r="K7" s="193"/>
      <c r="L7" s="215"/>
      <c r="M7" s="172"/>
      <c r="N7" s="216"/>
      <c r="O7" s="195"/>
      <c r="P7" s="216"/>
      <c r="Q7" s="216"/>
      <c r="R7" s="262"/>
      <c r="S7" s="813"/>
      <c r="T7" s="262"/>
      <c r="U7" s="262"/>
      <c r="V7" s="229"/>
      <c r="W7" s="517"/>
      <c r="X7" s="364"/>
      <c r="Y7" s="368"/>
      <c r="AA7" s="520">
        <v>1</v>
      </c>
      <c r="AB7" s="520" t="s">
        <v>97</v>
      </c>
      <c r="AC7" s="520" t="s">
        <v>98</v>
      </c>
      <c r="AD7" s="521">
        <v>0.115</v>
      </c>
      <c r="AE7" s="521">
        <v>0.13400000000000001</v>
      </c>
      <c r="AF7" s="521">
        <v>1.4999999999999999E-2</v>
      </c>
      <c r="AG7" s="522">
        <f>(AD7+1)</f>
        <v>1.115</v>
      </c>
      <c r="AH7" s="522">
        <f t="shared" ref="AH7:AI17" si="0">(AE7+1)</f>
        <v>1.1339999999999999</v>
      </c>
      <c r="AI7" s="522">
        <f t="shared" si="0"/>
        <v>1.0149999999999999</v>
      </c>
    </row>
    <row r="8" spans="1:35" ht="15" thickBot="1" x14ac:dyDescent="0.4">
      <c r="B8" s="949" t="s">
        <v>99</v>
      </c>
      <c r="C8" s="168" t="s">
        <v>100</v>
      </c>
      <c r="D8" s="684">
        <v>402</v>
      </c>
      <c r="E8" s="409" t="s">
        <v>101</v>
      </c>
      <c r="F8" s="217">
        <v>402</v>
      </c>
      <c r="G8" s="410" t="s">
        <v>101</v>
      </c>
      <c r="H8" s="683">
        <f>378.44+25.06</f>
        <v>403.5</v>
      </c>
      <c r="I8" s="278" t="s">
        <v>101</v>
      </c>
      <c r="J8" s="278">
        <f t="shared" ref="J8:J13" si="1">H8</f>
        <v>403.5</v>
      </c>
      <c r="K8" s="281" t="s">
        <v>101</v>
      </c>
      <c r="L8" s="684">
        <v>204.47298999999995</v>
      </c>
      <c r="M8" s="217" t="s">
        <v>101</v>
      </c>
      <c r="N8" s="230">
        <v>204.47298999999995</v>
      </c>
      <c r="O8" s="196" t="s">
        <v>101</v>
      </c>
      <c r="P8" s="685">
        <f>L8*$AG$8</f>
        <v>227.98738384999996</v>
      </c>
      <c r="Q8" s="702">
        <v>8.5999999999999993E-2</v>
      </c>
      <c r="R8" s="817">
        <v>3275</v>
      </c>
      <c r="S8" s="814">
        <v>3275</v>
      </c>
      <c r="T8" s="656">
        <v>8.5999999999999993E-2</v>
      </c>
      <c r="U8" s="858">
        <f t="shared" ref="U8:U13" si="2">R8*$AG$8</f>
        <v>3651.625</v>
      </c>
      <c r="V8" s="859">
        <f t="shared" ref="V8:V13" si="3">T8*$AH$8</f>
        <v>9.7523999999999986E-2</v>
      </c>
      <c r="X8" s="145"/>
      <c r="Y8" s="256"/>
      <c r="Z8" s="93"/>
      <c r="AA8" s="520">
        <v>2</v>
      </c>
      <c r="AB8" s="520" t="s">
        <v>97</v>
      </c>
      <c r="AC8" s="520" t="s">
        <v>33</v>
      </c>
      <c r="AD8" s="521">
        <v>0.115</v>
      </c>
      <c r="AE8" s="521">
        <v>0.13400000000000001</v>
      </c>
      <c r="AF8" s="521">
        <v>1.4999999999999999E-2</v>
      </c>
      <c r="AG8" s="522">
        <f t="shared" ref="AG8:AG17" si="4">(AD8+1)</f>
        <v>1.115</v>
      </c>
      <c r="AH8" s="522">
        <f t="shared" si="0"/>
        <v>1.1339999999999999</v>
      </c>
      <c r="AI8" s="522">
        <f t="shared" si="0"/>
        <v>1.0149999999999999</v>
      </c>
    </row>
    <row r="9" spans="1:35" ht="15" thickBot="1" x14ac:dyDescent="0.4">
      <c r="B9" s="950"/>
      <c r="C9" s="255" t="s">
        <v>102</v>
      </c>
      <c r="D9" s="693">
        <v>1037</v>
      </c>
      <c r="E9" s="411" t="s">
        <v>101</v>
      </c>
      <c r="F9" s="219">
        <v>1037</v>
      </c>
      <c r="G9" s="412" t="s">
        <v>101</v>
      </c>
      <c r="H9" s="686">
        <f>158.57+25.01</f>
        <v>183.57999999999998</v>
      </c>
      <c r="I9" s="279" t="s">
        <v>101</v>
      </c>
      <c r="J9" s="278">
        <f t="shared" si="1"/>
        <v>183.57999999999998</v>
      </c>
      <c r="K9" s="282" t="s">
        <v>101</v>
      </c>
      <c r="L9" s="687">
        <v>124.91993900000001</v>
      </c>
      <c r="M9" s="280" t="s">
        <v>101</v>
      </c>
      <c r="N9" s="688">
        <v>124.91993900000001</v>
      </c>
      <c r="O9" s="283" t="s">
        <v>101</v>
      </c>
      <c r="P9" s="685">
        <f t="shared" ref="P9:P12" si="5">L9*$AG$8</f>
        <v>139.28573198500001</v>
      </c>
      <c r="Q9" s="689">
        <v>1.6E-2</v>
      </c>
      <c r="R9" s="818">
        <v>1402</v>
      </c>
      <c r="S9" s="815">
        <v>1402</v>
      </c>
      <c r="T9" s="657">
        <v>1.6E-2</v>
      </c>
      <c r="U9" s="858">
        <f t="shared" si="2"/>
        <v>1563.23</v>
      </c>
      <c r="V9" s="859">
        <f t="shared" si="3"/>
        <v>1.8144E-2</v>
      </c>
      <c r="W9" s="145"/>
      <c r="X9" s="145"/>
      <c r="Y9" s="339"/>
      <c r="AA9" s="520">
        <v>3</v>
      </c>
      <c r="AB9" s="520" t="s">
        <v>97</v>
      </c>
      <c r="AC9" s="523" t="s">
        <v>103</v>
      </c>
      <c r="AD9" s="521">
        <v>0.115</v>
      </c>
      <c r="AE9" s="521">
        <v>0.13400000000000001</v>
      </c>
      <c r="AF9" s="521">
        <v>1.4999999999999999E-2</v>
      </c>
      <c r="AG9" s="522">
        <f t="shared" si="4"/>
        <v>1.115</v>
      </c>
      <c r="AH9" s="522">
        <f t="shared" si="0"/>
        <v>1.1339999999999999</v>
      </c>
      <c r="AI9" s="522">
        <f t="shared" si="0"/>
        <v>1.0149999999999999</v>
      </c>
    </row>
    <row r="10" spans="1:35" ht="15" thickBot="1" x14ac:dyDescent="0.4">
      <c r="B10" s="950"/>
      <c r="C10" s="255" t="s">
        <v>104</v>
      </c>
      <c r="D10" s="693">
        <v>552</v>
      </c>
      <c r="E10" s="413" t="s">
        <v>101</v>
      </c>
      <c r="F10" s="219">
        <v>552</v>
      </c>
      <c r="G10" s="412" t="s">
        <v>101</v>
      </c>
      <c r="H10" s="686">
        <f>178.06+25.01</f>
        <v>203.07</v>
      </c>
      <c r="I10" s="279" t="s">
        <v>101</v>
      </c>
      <c r="J10" s="278">
        <f t="shared" si="1"/>
        <v>203.07</v>
      </c>
      <c r="K10" s="282" t="s">
        <v>101</v>
      </c>
      <c r="L10" s="687">
        <v>614.04499999999996</v>
      </c>
      <c r="M10" s="280" t="s">
        <v>101</v>
      </c>
      <c r="N10" s="688">
        <v>614.04499999999996</v>
      </c>
      <c r="O10" s="283" t="s">
        <v>101</v>
      </c>
      <c r="P10" s="685">
        <f t="shared" si="5"/>
        <v>684.66017499999998</v>
      </c>
      <c r="Q10" s="689">
        <v>9.9000000000000005E-2</v>
      </c>
      <c r="R10" s="818">
        <v>2995</v>
      </c>
      <c r="S10" s="815">
        <v>2995</v>
      </c>
      <c r="T10" s="657">
        <v>9.9000000000000005E-2</v>
      </c>
      <c r="U10" s="858">
        <f t="shared" si="2"/>
        <v>3339.4250000000002</v>
      </c>
      <c r="V10" s="859">
        <f t="shared" si="3"/>
        <v>0.11226599999999999</v>
      </c>
      <c r="W10" s="145"/>
      <c r="X10" s="145"/>
      <c r="AA10" s="520">
        <v>4</v>
      </c>
      <c r="AB10" s="520" t="s">
        <v>97</v>
      </c>
      <c r="AC10" s="520" t="s">
        <v>105</v>
      </c>
      <c r="AD10" s="521">
        <v>0.115</v>
      </c>
      <c r="AE10" s="521">
        <v>0.13400000000000001</v>
      </c>
      <c r="AF10" s="521">
        <v>1.4999999999999999E-2</v>
      </c>
      <c r="AG10" s="522">
        <f t="shared" si="4"/>
        <v>1.115</v>
      </c>
      <c r="AH10" s="522">
        <f t="shared" si="0"/>
        <v>1.1339999999999999</v>
      </c>
      <c r="AI10" s="522">
        <f t="shared" si="0"/>
        <v>1.0149999999999999</v>
      </c>
    </row>
    <row r="11" spans="1:35" ht="15" thickBot="1" x14ac:dyDescent="0.4">
      <c r="B11" s="950"/>
      <c r="C11" s="255" t="s">
        <v>106</v>
      </c>
      <c r="D11" s="693">
        <v>514</v>
      </c>
      <c r="E11" s="413" t="s">
        <v>101</v>
      </c>
      <c r="F11" s="219">
        <v>514</v>
      </c>
      <c r="G11" s="414" t="s">
        <v>101</v>
      </c>
      <c r="H11" s="686">
        <f>90.2</f>
        <v>90.2</v>
      </c>
      <c r="I11" s="279" t="s">
        <v>101</v>
      </c>
      <c r="J11" s="278">
        <f t="shared" si="1"/>
        <v>90.2</v>
      </c>
      <c r="K11" s="282" t="s">
        <v>101</v>
      </c>
      <c r="L11" s="703">
        <v>74</v>
      </c>
      <c r="M11" s="280" t="s">
        <v>101</v>
      </c>
      <c r="N11" s="846">
        <v>74</v>
      </c>
      <c r="O11" s="283" t="s">
        <v>101</v>
      </c>
      <c r="P11" s="685">
        <f t="shared" si="5"/>
        <v>82.51</v>
      </c>
      <c r="Q11" s="691">
        <v>2.0431999999999999E-2</v>
      </c>
      <c r="R11" s="692">
        <v>696</v>
      </c>
      <c r="S11" s="659">
        <v>696</v>
      </c>
      <c r="T11" s="658">
        <v>2.0431999999999999E-2</v>
      </c>
      <c r="U11" s="858">
        <f t="shared" si="2"/>
        <v>776.04</v>
      </c>
      <c r="V11" s="859">
        <f t="shared" si="3"/>
        <v>2.3169887999999996E-2</v>
      </c>
      <c r="W11" s="145"/>
      <c r="X11" s="145"/>
      <c r="Y11" s="256"/>
      <c r="Z11" s="256"/>
      <c r="AA11" s="520">
        <v>5</v>
      </c>
      <c r="AB11" s="520" t="s">
        <v>107</v>
      </c>
      <c r="AC11" s="520" t="s">
        <v>37</v>
      </c>
      <c r="AD11" s="521">
        <v>0.115</v>
      </c>
      <c r="AE11" s="521">
        <v>0.13400000000000001</v>
      </c>
      <c r="AF11" s="521">
        <v>1.4999999999999999E-2</v>
      </c>
      <c r="AG11" s="522">
        <f t="shared" si="4"/>
        <v>1.115</v>
      </c>
      <c r="AH11" s="522">
        <f t="shared" si="0"/>
        <v>1.1339999999999999</v>
      </c>
      <c r="AI11" s="522">
        <f t="shared" si="0"/>
        <v>1.0149999999999999</v>
      </c>
    </row>
    <row r="12" spans="1:35" ht="15" thickBot="1" x14ac:dyDescent="0.4">
      <c r="B12" s="950"/>
      <c r="C12" s="170" t="s">
        <v>108</v>
      </c>
      <c r="D12" s="693">
        <v>6892</v>
      </c>
      <c r="E12" s="415" t="s">
        <v>101</v>
      </c>
      <c r="F12" s="219">
        <v>6892</v>
      </c>
      <c r="G12" s="412" t="s">
        <v>101</v>
      </c>
      <c r="H12" s="690">
        <v>0</v>
      </c>
      <c r="I12" s="279" t="s">
        <v>101</v>
      </c>
      <c r="J12" s="278">
        <f t="shared" si="1"/>
        <v>0</v>
      </c>
      <c r="K12" s="282" t="s">
        <v>101</v>
      </c>
      <c r="L12" s="693">
        <v>1863.9361620800003</v>
      </c>
      <c r="M12" s="219" t="s">
        <v>101</v>
      </c>
      <c r="N12" s="219">
        <v>1863.9361620800003</v>
      </c>
      <c r="O12" s="283" t="s">
        <v>101</v>
      </c>
      <c r="P12" s="685">
        <f t="shared" si="5"/>
        <v>2078.2888207192004</v>
      </c>
      <c r="Q12" s="694">
        <v>0.16900000000000001</v>
      </c>
      <c r="R12" s="819">
        <v>23000</v>
      </c>
      <c r="S12" s="816">
        <v>23000</v>
      </c>
      <c r="T12" s="659">
        <v>0.16900000000000001</v>
      </c>
      <c r="U12" s="858">
        <f t="shared" si="2"/>
        <v>25645</v>
      </c>
      <c r="V12" s="859">
        <f t="shared" si="3"/>
        <v>0.19164599999999998</v>
      </c>
      <c r="W12" s="145"/>
      <c r="X12" s="145"/>
      <c r="AA12" s="520">
        <v>6</v>
      </c>
      <c r="AB12" s="520" t="s">
        <v>109</v>
      </c>
      <c r="AC12" s="520" t="s">
        <v>110</v>
      </c>
      <c r="AD12" s="521">
        <v>0.115</v>
      </c>
      <c r="AE12" s="521">
        <v>0.13400000000000001</v>
      </c>
      <c r="AF12" s="521">
        <v>1.4999999999999999E-2</v>
      </c>
      <c r="AG12" s="522">
        <f t="shared" si="4"/>
        <v>1.115</v>
      </c>
      <c r="AH12" s="522">
        <f t="shared" si="0"/>
        <v>1.1339999999999999</v>
      </c>
      <c r="AI12" s="522">
        <f t="shared" si="0"/>
        <v>1.0149999999999999</v>
      </c>
    </row>
    <row r="13" spans="1:35" ht="15" thickBot="1" x14ac:dyDescent="0.4">
      <c r="B13" s="950"/>
      <c r="C13" s="248" t="s">
        <v>111</v>
      </c>
      <c r="D13" s="697">
        <v>42564</v>
      </c>
      <c r="E13" s="416" t="s">
        <v>101</v>
      </c>
      <c r="F13" s="695">
        <v>42564</v>
      </c>
      <c r="G13" s="417" t="s">
        <v>101</v>
      </c>
      <c r="H13" s="686">
        <f>169.24+25.01</f>
        <v>194.25</v>
      </c>
      <c r="I13" s="279" t="s">
        <v>101</v>
      </c>
      <c r="J13" s="278">
        <f t="shared" si="1"/>
        <v>194.25</v>
      </c>
      <c r="K13" s="282" t="s">
        <v>101</v>
      </c>
      <c r="L13" s="693">
        <v>6363.8158000000476</v>
      </c>
      <c r="M13" s="219" t="s">
        <v>101</v>
      </c>
      <c r="N13" s="696">
        <v>6363.8158000000476</v>
      </c>
      <c r="O13" s="197" t="s">
        <v>101</v>
      </c>
      <c r="P13" s="685">
        <f>L13*$AG$8</f>
        <v>7095.6546170000529</v>
      </c>
      <c r="Q13" s="846">
        <v>0.47699999999999998</v>
      </c>
      <c r="R13" s="818">
        <v>95457</v>
      </c>
      <c r="S13" s="815">
        <v>95457</v>
      </c>
      <c r="T13" s="657">
        <v>0.47699999999999998</v>
      </c>
      <c r="U13" s="858">
        <f t="shared" si="2"/>
        <v>106434.55499999999</v>
      </c>
      <c r="V13" s="859">
        <f t="shared" si="3"/>
        <v>0.5409179999999999</v>
      </c>
      <c r="W13" s="145"/>
      <c r="X13" s="145"/>
      <c r="AA13" s="520">
        <v>7</v>
      </c>
      <c r="AB13" s="520" t="s">
        <v>112</v>
      </c>
      <c r="AC13" s="520" t="s">
        <v>113</v>
      </c>
      <c r="AD13" s="521">
        <v>9.0999999999999998E-2</v>
      </c>
      <c r="AE13" s="521">
        <v>0.113</v>
      </c>
      <c r="AF13" s="521">
        <v>1.4999999999999999E-2</v>
      </c>
      <c r="AG13" s="522">
        <f t="shared" si="4"/>
        <v>1.091</v>
      </c>
      <c r="AH13" s="522">
        <f t="shared" si="0"/>
        <v>1.113</v>
      </c>
      <c r="AI13" s="522">
        <f t="shared" si="0"/>
        <v>1.0149999999999999</v>
      </c>
    </row>
    <row r="14" spans="1:35" ht="15" thickBot="1" x14ac:dyDescent="0.4">
      <c r="B14" s="929"/>
      <c r="C14" s="700" t="s">
        <v>114</v>
      </c>
      <c r="D14" s="292">
        <f>SUM(D8:D13)</f>
        <v>51961</v>
      </c>
      <c r="E14" s="293">
        <v>81204</v>
      </c>
      <c r="F14" s="293">
        <f>SUM(F8:F13)</f>
        <v>51961</v>
      </c>
      <c r="G14" s="294">
        <f t="shared" ref="G14:G17" si="6">F14/E14</f>
        <v>0.63988227180927049</v>
      </c>
      <c r="H14" s="237">
        <f>SUM(H8:H13)</f>
        <v>1074.5999999999999</v>
      </c>
      <c r="I14" s="241">
        <f>5012569/1000</f>
        <v>5012.5690000000004</v>
      </c>
      <c r="J14" s="241">
        <f>SUM(J8:J13)</f>
        <v>1074.5999999999999</v>
      </c>
      <c r="K14" s="699">
        <f>J14/I14</f>
        <v>0.21438108881892695</v>
      </c>
      <c r="L14" s="237">
        <f>SUM(L8:L13)</f>
        <v>9245.1898910800483</v>
      </c>
      <c r="M14" s="739">
        <f>11595373/1000</f>
        <v>11595.373</v>
      </c>
      <c r="N14" s="740">
        <f>SUM(N8:N13)</f>
        <v>9245.1898910800483</v>
      </c>
      <c r="O14" s="741">
        <f>N14/M14</f>
        <v>0.79731716186103274</v>
      </c>
      <c r="P14" s="740">
        <f>SUM(P8:P13)</f>
        <v>10308.386728554253</v>
      </c>
      <c r="Q14" s="742">
        <f>SUM(Q8:Q13)</f>
        <v>0.86743199999999998</v>
      </c>
      <c r="R14" s="820">
        <f>SUM(R8:R13)</f>
        <v>126825</v>
      </c>
      <c r="S14" s="860">
        <f t="shared" ref="S14:T14" si="7">SUM(S8:S13)</f>
        <v>126825</v>
      </c>
      <c r="T14" s="861">
        <f t="shared" si="7"/>
        <v>0.86743199999999998</v>
      </c>
      <c r="U14" s="862">
        <f>SUM(U8:U13)</f>
        <v>141409.875</v>
      </c>
      <c r="V14" s="863">
        <f>SUM(V8:V13)</f>
        <v>0.98366788799999982</v>
      </c>
      <c r="W14" s="145"/>
      <c r="X14" s="145"/>
      <c r="Y14" s="256"/>
      <c r="Z14" s="93"/>
      <c r="AA14" s="520">
        <v>8</v>
      </c>
      <c r="AB14" s="520" t="s">
        <v>112</v>
      </c>
      <c r="AC14" s="520" t="s">
        <v>115</v>
      </c>
      <c r="AD14" s="521">
        <v>6.9000000000000006E-2</v>
      </c>
      <c r="AE14" s="521">
        <v>8.6999999999999994E-2</v>
      </c>
      <c r="AF14" s="521">
        <v>1.4999999999999999E-2</v>
      </c>
      <c r="AG14" s="522">
        <f t="shared" si="4"/>
        <v>1.069</v>
      </c>
      <c r="AH14" s="522">
        <f t="shared" si="0"/>
        <v>1.087</v>
      </c>
      <c r="AI14" s="522">
        <f t="shared" si="0"/>
        <v>1.0149999999999999</v>
      </c>
    </row>
    <row r="15" spans="1:35" ht="15" thickBot="1" x14ac:dyDescent="0.4">
      <c r="B15" s="949" t="s">
        <v>34</v>
      </c>
      <c r="C15" s="157" t="s">
        <v>116</v>
      </c>
      <c r="D15" s="701">
        <v>15</v>
      </c>
      <c r="E15" s="217">
        <v>281</v>
      </c>
      <c r="F15" s="702">
        <v>15</v>
      </c>
      <c r="G15" s="218">
        <f t="shared" si="6"/>
        <v>5.3380782918149468E-2</v>
      </c>
      <c r="H15" s="683">
        <f>321.21+9.04</f>
        <v>330.25</v>
      </c>
      <c r="I15" s="278">
        <f>2943265/1000</f>
        <v>2943.2649999999999</v>
      </c>
      <c r="J15" s="278">
        <f>H15</f>
        <v>330.25</v>
      </c>
      <c r="K15" s="698">
        <f>J15/I15</f>
        <v>0.11220532300013761</v>
      </c>
      <c r="L15" s="745">
        <v>21</v>
      </c>
      <c r="M15" s="219">
        <f>626906/1000</f>
        <v>626.90599999999995</v>
      </c>
      <c r="N15" s="743">
        <v>21</v>
      </c>
      <c r="O15" s="197">
        <f t="shared" ref="O15:O16" si="8">N15/M15</f>
        <v>3.3497844971973473E-2</v>
      </c>
      <c r="P15" s="685">
        <f>L15*$AG$10</f>
        <v>23.414999999999999</v>
      </c>
      <c r="Q15" s="219">
        <v>0</v>
      </c>
      <c r="R15" s="744">
        <v>493.71</v>
      </c>
      <c r="S15" s="738">
        <v>494</v>
      </c>
      <c r="T15" s="864">
        <v>0</v>
      </c>
      <c r="U15" s="858">
        <f>R15*$AG$10</f>
        <v>550.48664999999994</v>
      </c>
      <c r="V15" s="859">
        <f>T15*$AH$10</f>
        <v>0</v>
      </c>
      <c r="W15" s="145"/>
      <c r="X15" s="145"/>
      <c r="AA15" s="520">
        <v>9</v>
      </c>
      <c r="AB15" s="520" t="s">
        <v>112</v>
      </c>
      <c r="AC15" s="520" t="s">
        <v>117</v>
      </c>
      <c r="AD15" s="521">
        <v>9.9000000000000005E-2</v>
      </c>
      <c r="AE15" s="521">
        <v>0.121</v>
      </c>
      <c r="AF15" s="521">
        <v>1.4999999999999999E-2</v>
      </c>
      <c r="AG15" s="522">
        <f t="shared" si="4"/>
        <v>1.099</v>
      </c>
      <c r="AH15" s="522">
        <f t="shared" si="0"/>
        <v>1.121</v>
      </c>
      <c r="AI15" s="522">
        <f t="shared" si="0"/>
        <v>1.0149999999999999</v>
      </c>
    </row>
    <row r="16" spans="1:35" ht="17" thickBot="1" x14ac:dyDescent="0.4">
      <c r="B16" s="950"/>
      <c r="C16" s="249" t="s">
        <v>118</v>
      </c>
      <c r="D16" s="703" t="s">
        <v>119</v>
      </c>
      <c r="E16" s="219">
        <v>6500</v>
      </c>
      <c r="F16" s="704">
        <v>0</v>
      </c>
      <c r="G16" s="220">
        <f t="shared" si="6"/>
        <v>0</v>
      </c>
      <c r="H16" s="686">
        <f>390.87+7.54</f>
        <v>398.41</v>
      </c>
      <c r="I16" s="279">
        <f>3681070/1000</f>
        <v>3681.07</v>
      </c>
      <c r="J16" s="278">
        <f>H16</f>
        <v>398.41</v>
      </c>
      <c r="K16" s="418">
        <f t="shared" ref="K16:K19" si="9">J16/I16</f>
        <v>0.10823211729198304</v>
      </c>
      <c r="L16" s="704">
        <v>0</v>
      </c>
      <c r="M16" s="219">
        <f>6835106/1000</f>
        <v>6835.1059999999998</v>
      </c>
      <c r="N16" s="219">
        <v>0</v>
      </c>
      <c r="O16" s="283">
        <f t="shared" si="8"/>
        <v>0</v>
      </c>
      <c r="P16" s="685">
        <f>L16*$AG$9</f>
        <v>0</v>
      </c>
      <c r="Q16" s="219">
        <v>0</v>
      </c>
      <c r="R16" s="219">
        <v>0</v>
      </c>
      <c r="S16" s="865">
        <v>0</v>
      </c>
      <c r="T16" s="864">
        <v>0</v>
      </c>
      <c r="U16" s="858">
        <f>R16*$AG$9</f>
        <v>0</v>
      </c>
      <c r="V16" s="859">
        <f>T16*$AH$9</f>
        <v>0</v>
      </c>
      <c r="W16" s="251"/>
      <c r="X16" s="145"/>
      <c r="AA16" s="520">
        <v>10</v>
      </c>
      <c r="AB16" s="520" t="s">
        <v>112</v>
      </c>
      <c r="AC16" s="520" t="s">
        <v>120</v>
      </c>
      <c r="AD16" s="521">
        <v>7.6999999999999999E-2</v>
      </c>
      <c r="AE16" s="521">
        <v>9.1999999999999998E-2</v>
      </c>
      <c r="AF16" s="521">
        <v>1.4999999999999999E-2</v>
      </c>
      <c r="AG16" s="522">
        <f t="shared" si="4"/>
        <v>1.077</v>
      </c>
      <c r="AH16" s="522">
        <f t="shared" si="0"/>
        <v>1.0920000000000001</v>
      </c>
      <c r="AI16" s="522">
        <f t="shared" si="0"/>
        <v>1.0149999999999999</v>
      </c>
    </row>
    <row r="17" spans="2:39" ht="15" thickBot="1" x14ac:dyDescent="0.4">
      <c r="B17" s="950"/>
      <c r="C17" s="526" t="s">
        <v>37</v>
      </c>
      <c r="D17" s="705" t="s">
        <v>119</v>
      </c>
      <c r="E17" s="706">
        <v>450</v>
      </c>
      <c r="F17" s="704">
        <v>0</v>
      </c>
      <c r="G17" s="707">
        <f t="shared" si="6"/>
        <v>0</v>
      </c>
      <c r="H17" s="708">
        <f>193.15+60.78</f>
        <v>253.93</v>
      </c>
      <c r="I17" s="746">
        <f>4214836/1000</f>
        <v>4214.8360000000002</v>
      </c>
      <c r="J17" s="278">
        <f>H17</f>
        <v>253.93</v>
      </c>
      <c r="K17" s="419">
        <f t="shared" si="9"/>
        <v>6.0246709480511224E-2</v>
      </c>
      <c r="L17" s="704">
        <v>0</v>
      </c>
      <c r="M17" s="219">
        <f>824199/1000</f>
        <v>824.19899999999996</v>
      </c>
      <c r="N17" s="219">
        <v>0</v>
      </c>
      <c r="O17" s="197">
        <v>0</v>
      </c>
      <c r="P17" s="685">
        <f>L17*$AG$11</f>
        <v>0</v>
      </c>
      <c r="Q17" s="219">
        <v>0</v>
      </c>
      <c r="R17" s="219">
        <v>0</v>
      </c>
      <c r="S17" s="865">
        <v>0</v>
      </c>
      <c r="T17" s="864">
        <v>0</v>
      </c>
      <c r="U17" s="866">
        <f>R17*$AG$11</f>
        <v>0</v>
      </c>
      <c r="V17" s="867">
        <f>T17*$AH$11</f>
        <v>0</v>
      </c>
      <c r="W17" s="252"/>
      <c r="X17" s="145"/>
      <c r="AA17" s="520">
        <v>11</v>
      </c>
      <c r="AB17" s="520" t="s">
        <v>121</v>
      </c>
      <c r="AC17" s="520" t="s">
        <v>122</v>
      </c>
      <c r="AD17" s="521">
        <v>0.115</v>
      </c>
      <c r="AE17" s="521">
        <v>0.13400000000000001</v>
      </c>
      <c r="AF17" s="521">
        <v>1.4999999999999999E-2</v>
      </c>
      <c r="AG17" s="522">
        <f t="shared" si="4"/>
        <v>1.115</v>
      </c>
      <c r="AH17" s="522">
        <f t="shared" si="0"/>
        <v>1.1339999999999999</v>
      </c>
      <c r="AI17" s="522">
        <f t="shared" si="0"/>
        <v>1.0149999999999999</v>
      </c>
    </row>
    <row r="18" spans="2:39" ht="17" thickBot="1" x14ac:dyDescent="0.4">
      <c r="B18" s="144" t="s">
        <v>38</v>
      </c>
      <c r="C18" s="250" t="s">
        <v>123</v>
      </c>
      <c r="D18" s="709">
        <v>235719</v>
      </c>
      <c r="E18" s="710">
        <v>0</v>
      </c>
      <c r="F18" s="710">
        <f>D18</f>
        <v>235719</v>
      </c>
      <c r="G18" s="420" t="s">
        <v>101</v>
      </c>
      <c r="H18" s="711">
        <v>0</v>
      </c>
      <c r="I18" s="715">
        <v>0</v>
      </c>
      <c r="J18" s="715">
        <v>0</v>
      </c>
      <c r="K18" s="421">
        <v>0</v>
      </c>
      <c r="L18" s="747">
        <v>2895</v>
      </c>
      <c r="M18" s="219">
        <v>0</v>
      </c>
      <c r="N18" s="219">
        <v>2895</v>
      </c>
      <c r="O18" s="197" t="s">
        <v>101</v>
      </c>
      <c r="P18" s="685">
        <f>N18*$AG$7</f>
        <v>3227.9250000000002</v>
      </c>
      <c r="Q18" s="736">
        <v>2.2930000000000001</v>
      </c>
      <c r="R18" s="696">
        <f>L18</f>
        <v>2895</v>
      </c>
      <c r="S18" s="865">
        <f>N18</f>
        <v>2895</v>
      </c>
      <c r="T18" s="868">
        <v>2.2930000000000001</v>
      </c>
      <c r="U18" s="869">
        <f>R18*$AG$7</f>
        <v>3227.9250000000002</v>
      </c>
      <c r="V18" s="870">
        <f>T18*$AH$7</f>
        <v>2.6002619999999999</v>
      </c>
      <c r="W18" s="252"/>
      <c r="X18" s="145"/>
    </row>
    <row r="19" spans="2:39" ht="15" thickBot="1" x14ac:dyDescent="0.4">
      <c r="B19" s="160" t="s">
        <v>40</v>
      </c>
      <c r="C19" s="162"/>
      <c r="D19" s="203">
        <f>SUM(D14:D18)</f>
        <v>287695</v>
      </c>
      <c r="E19" s="204">
        <f>SUM(E14:E18)</f>
        <v>88435</v>
      </c>
      <c r="F19" s="204">
        <f>SUM(F14:F18)</f>
        <v>287695</v>
      </c>
      <c r="G19" s="184">
        <f>F19/E19</f>
        <v>3.2531803019166619</v>
      </c>
      <c r="H19" s="234">
        <f>SUM(H14:H18)</f>
        <v>2057.19</v>
      </c>
      <c r="I19" s="235">
        <f>SUM(I14:I18)</f>
        <v>15851.740000000002</v>
      </c>
      <c r="J19" s="235">
        <f>SUM(J14:J18)</f>
        <v>2057.19</v>
      </c>
      <c r="K19" s="189">
        <f t="shared" si="9"/>
        <v>0.1297769203885504</v>
      </c>
      <c r="L19" s="231">
        <f>SUM(L14:L18)</f>
        <v>12161.189891080048</v>
      </c>
      <c r="M19" s="871">
        <f>SUM(M14:M18)</f>
        <v>19881.583999999999</v>
      </c>
      <c r="N19" s="231">
        <f>SUM(N14:N18)</f>
        <v>12161.189891080048</v>
      </c>
      <c r="O19" s="198">
        <f>N19/M19</f>
        <v>0.61168113622536557</v>
      </c>
      <c r="P19" s="527">
        <f>SUM(P14:P18)</f>
        <v>13559.726728554255</v>
      </c>
      <c r="Q19" s="266">
        <f t="shared" ref="Q19" si="10">SUM(Q14:Q18)</f>
        <v>3.1604320000000001</v>
      </c>
      <c r="R19" s="227">
        <f>SUM(R14:R18)</f>
        <v>130213.71</v>
      </c>
      <c r="S19" s="872">
        <f t="shared" ref="S19" si="11">SUM(S14:S18)</f>
        <v>130214</v>
      </c>
      <c r="T19" s="873">
        <f>SUM(T14:T18)</f>
        <v>3.1604320000000001</v>
      </c>
      <c r="U19" s="874">
        <f>SUM(U14:U18)</f>
        <v>145188.28664999999</v>
      </c>
      <c r="V19" s="875">
        <f>SUM(V14:V18)</f>
        <v>3.5839298879999997</v>
      </c>
      <c r="W19" s="148"/>
      <c r="X19" s="148"/>
    </row>
    <row r="20" spans="2:39" ht="15" thickBot="1" x14ac:dyDescent="0.4">
      <c r="B20" s="129"/>
      <c r="C20" s="164"/>
      <c r="D20" s="205"/>
      <c r="E20" s="206"/>
      <c r="F20" s="206"/>
      <c r="G20" s="185"/>
      <c r="H20" s="175"/>
      <c r="I20" s="176"/>
      <c r="J20" s="176"/>
      <c r="K20" s="194"/>
      <c r="L20" s="205"/>
      <c r="M20" s="206"/>
      <c r="N20" s="232"/>
      <c r="O20" s="199"/>
      <c r="P20" s="525"/>
      <c r="Q20" s="267"/>
      <c r="R20" s="821"/>
      <c r="S20" s="876"/>
      <c r="T20" s="877"/>
      <c r="U20" s="878"/>
      <c r="V20" s="879"/>
      <c r="W20" s="151"/>
      <c r="X20" s="151"/>
    </row>
    <row r="21" spans="2:39" ht="15" thickBot="1" x14ac:dyDescent="0.4">
      <c r="B21" s="163" t="s">
        <v>41</v>
      </c>
      <c r="C21" s="161" t="s">
        <v>124</v>
      </c>
      <c r="D21" s="207"/>
      <c r="E21" s="208"/>
      <c r="F21" s="208"/>
      <c r="G21" s="186"/>
      <c r="H21" s="178"/>
      <c r="I21" s="179"/>
      <c r="J21" s="179"/>
      <c r="K21" s="186"/>
      <c r="L21" s="207"/>
      <c r="M21" s="208"/>
      <c r="N21" s="233"/>
      <c r="O21" s="200"/>
      <c r="P21" s="208"/>
      <c r="Q21" s="268"/>
      <c r="R21" s="822"/>
      <c r="S21" s="880"/>
      <c r="T21" s="881"/>
      <c r="U21" s="881"/>
      <c r="V21" s="882"/>
      <c r="W21" s="148"/>
      <c r="X21" s="148"/>
    </row>
    <row r="22" spans="2:39" ht="15" thickBot="1" x14ac:dyDescent="0.4">
      <c r="B22" s="158" t="s">
        <v>42</v>
      </c>
      <c r="C22" s="158" t="s">
        <v>125</v>
      </c>
      <c r="D22" s="709">
        <v>0</v>
      </c>
      <c r="E22" s="710">
        <v>180</v>
      </c>
      <c r="F22" s="710">
        <v>0</v>
      </c>
      <c r="G22" s="236">
        <f t="shared" ref="G22:G26" si="12">F22/E22</f>
        <v>0</v>
      </c>
      <c r="H22" s="714">
        <f>544.47+18.51</f>
        <v>562.98</v>
      </c>
      <c r="I22" s="715">
        <f>12369521/1000</f>
        <v>12369.521000000001</v>
      </c>
      <c r="J22" s="715">
        <f>H22</f>
        <v>562.98</v>
      </c>
      <c r="K22" s="420">
        <f t="shared" ref="K22:K26" si="13">J22/I22</f>
        <v>4.5513484313580127E-2</v>
      </c>
      <c r="L22" s="709">
        <v>0</v>
      </c>
      <c r="M22" s="710">
        <f>8363365/1000</f>
        <v>8363.3649999999998</v>
      </c>
      <c r="N22" s="716">
        <v>0</v>
      </c>
      <c r="O22" s="717">
        <f>N22/M22</f>
        <v>0</v>
      </c>
      <c r="P22" s="718">
        <f>L22*$AG$15</f>
        <v>0</v>
      </c>
      <c r="Q22" s="719">
        <v>0</v>
      </c>
      <c r="R22" s="716">
        <v>0</v>
      </c>
      <c r="S22" s="883">
        <v>0</v>
      </c>
      <c r="T22" s="884">
        <v>0</v>
      </c>
      <c r="U22" s="885">
        <f>R22*$AG$15</f>
        <v>0</v>
      </c>
      <c r="V22" s="886">
        <f>T22*$AH$15</f>
        <v>0</v>
      </c>
      <c r="W22" s="145"/>
      <c r="X22" s="145"/>
    </row>
    <row r="23" spans="2:39" ht="17" thickBot="1" x14ac:dyDescent="0.4">
      <c r="B23" s="946" t="s">
        <v>44</v>
      </c>
      <c r="C23" s="255" t="s">
        <v>126</v>
      </c>
      <c r="D23" s="687">
        <v>71</v>
      </c>
      <c r="E23" s="280">
        <v>126542</v>
      </c>
      <c r="F23" s="280">
        <v>71</v>
      </c>
      <c r="G23" s="246">
        <f t="shared" si="12"/>
        <v>5.610785351898974E-4</v>
      </c>
      <c r="H23" s="720">
        <f>1045.64+9.16</f>
        <v>1054.8000000000002</v>
      </c>
      <c r="I23" s="721">
        <f>4062402/1000</f>
        <v>4062.402</v>
      </c>
      <c r="J23" s="715">
        <f>H23</f>
        <v>1054.8000000000002</v>
      </c>
      <c r="K23" s="424">
        <f t="shared" si="13"/>
        <v>0.25964934046408999</v>
      </c>
      <c r="L23" s="687">
        <v>3537</v>
      </c>
      <c r="M23" s="280">
        <f>27604255/1000</f>
        <v>27604.255000000001</v>
      </c>
      <c r="N23" s="722">
        <v>3537</v>
      </c>
      <c r="O23" s="723">
        <f t="shared" ref="O23:O25" si="14">N23/M23</f>
        <v>0.1281324201649347</v>
      </c>
      <c r="P23" s="724">
        <f>L23*$AG$13</f>
        <v>3858.8669999999997</v>
      </c>
      <c r="Q23" s="725">
        <v>0.61599999999999999</v>
      </c>
      <c r="R23" s="722">
        <v>52235</v>
      </c>
      <c r="S23" s="887">
        <v>52235</v>
      </c>
      <c r="T23" s="888">
        <v>0.61599999999999999</v>
      </c>
      <c r="U23" s="889">
        <f>R23*$AG$13</f>
        <v>56988.385000000002</v>
      </c>
      <c r="V23" s="890">
        <f>T23*$AH$13</f>
        <v>0.685608</v>
      </c>
      <c r="W23" s="145"/>
      <c r="X23" s="145"/>
    </row>
    <row r="24" spans="2:39" ht="15" thickBot="1" x14ac:dyDescent="0.4">
      <c r="B24" s="947"/>
      <c r="C24" s="167" t="s">
        <v>46</v>
      </c>
      <c r="D24" s="693">
        <v>0</v>
      </c>
      <c r="E24" s="219">
        <v>25</v>
      </c>
      <c r="F24" s="219">
        <v>0</v>
      </c>
      <c r="G24" s="187">
        <f t="shared" si="12"/>
        <v>0</v>
      </c>
      <c r="H24" s="726">
        <f>131.28+3.24</f>
        <v>134.52000000000001</v>
      </c>
      <c r="I24" s="279">
        <f>279647/1000</f>
        <v>279.64699999999999</v>
      </c>
      <c r="J24" s="715">
        <f>H24</f>
        <v>134.52000000000001</v>
      </c>
      <c r="K24" s="220">
        <f t="shared" si="13"/>
        <v>0.48103501914914165</v>
      </c>
      <c r="L24" s="693">
        <v>0</v>
      </c>
      <c r="M24" s="219">
        <f>800526/1000</f>
        <v>800.52599999999995</v>
      </c>
      <c r="N24" s="727">
        <v>0</v>
      </c>
      <c r="O24" s="728">
        <f t="shared" si="14"/>
        <v>0</v>
      </c>
      <c r="P24" s="729">
        <f>L24*$AG$16</f>
        <v>0</v>
      </c>
      <c r="Q24" s="730">
        <v>0</v>
      </c>
      <c r="R24" s="727">
        <v>0</v>
      </c>
      <c r="S24" s="891">
        <v>0</v>
      </c>
      <c r="T24" s="892">
        <v>0</v>
      </c>
      <c r="U24" s="893">
        <f>R24*$AG$16</f>
        <v>0</v>
      </c>
      <c r="V24" s="894">
        <f>T24*$AH$16</f>
        <v>0</v>
      </c>
      <c r="W24" s="145"/>
      <c r="X24" s="145"/>
    </row>
    <row r="25" spans="2:39" ht="15" thickBot="1" x14ac:dyDescent="0.4">
      <c r="B25" s="948"/>
      <c r="C25" s="169" t="s">
        <v>47</v>
      </c>
      <c r="D25" s="697">
        <v>0</v>
      </c>
      <c r="E25" s="695">
        <v>1</v>
      </c>
      <c r="F25" s="695">
        <v>0</v>
      </c>
      <c r="G25" s="188" t="s">
        <v>101</v>
      </c>
      <c r="H25" s="731">
        <f>125.75+56.83</f>
        <v>182.57999999999998</v>
      </c>
      <c r="I25" s="732">
        <f>1146197/1000</f>
        <v>1146.1969999999999</v>
      </c>
      <c r="J25" s="715">
        <f>H25</f>
        <v>182.57999999999998</v>
      </c>
      <c r="K25" s="425">
        <f t="shared" si="13"/>
        <v>0.15929198907343153</v>
      </c>
      <c r="L25" s="697">
        <v>0</v>
      </c>
      <c r="M25" s="695">
        <f>607879/1000</f>
        <v>607.87900000000002</v>
      </c>
      <c r="N25" s="733">
        <v>0</v>
      </c>
      <c r="O25" s="734">
        <f t="shared" si="14"/>
        <v>0</v>
      </c>
      <c r="P25" s="729">
        <f>L25*$AG$14</f>
        <v>0</v>
      </c>
      <c r="Q25" s="735">
        <v>0</v>
      </c>
      <c r="R25" s="733">
        <v>0</v>
      </c>
      <c r="S25" s="895">
        <v>0</v>
      </c>
      <c r="T25" s="896">
        <v>0</v>
      </c>
      <c r="U25" s="893">
        <f>R25*$AG$14</f>
        <v>0</v>
      </c>
      <c r="V25" s="894">
        <f>T25*$AH$14</f>
        <v>0</v>
      </c>
      <c r="W25" s="145"/>
      <c r="X25" s="145"/>
    </row>
    <row r="26" spans="2:39" s="93" customFormat="1" ht="15" thickBot="1" x14ac:dyDescent="0.4">
      <c r="B26" s="223" t="s">
        <v>48</v>
      </c>
      <c r="C26" s="223"/>
      <c r="D26" s="227">
        <f>SUM(D22:D25)</f>
        <v>71</v>
      </c>
      <c r="E26" s="227">
        <f>SUM(E22:E25)</f>
        <v>126748</v>
      </c>
      <c r="F26" s="227">
        <f>SUM(F22:F25)</f>
        <v>71</v>
      </c>
      <c r="G26" s="189">
        <f t="shared" si="12"/>
        <v>5.6016662984820274E-4</v>
      </c>
      <c r="H26" s="174">
        <f>SUM(H22:H25)</f>
        <v>1934.88</v>
      </c>
      <c r="I26" s="235">
        <f>SUM(I22:I25)</f>
        <v>17857.767000000003</v>
      </c>
      <c r="J26" s="174">
        <f>SUM(J22:J25)</f>
        <v>1934.88</v>
      </c>
      <c r="K26" s="189">
        <f t="shared" si="13"/>
        <v>0.10834949296852175</v>
      </c>
      <c r="L26" s="209">
        <f>SUM(L22:L25)</f>
        <v>3537</v>
      </c>
      <c r="M26" s="204">
        <f t="shared" ref="M26:N26" si="15">SUM(M22:M25)</f>
        <v>37376.025000000001</v>
      </c>
      <c r="N26" s="204">
        <f t="shared" si="15"/>
        <v>3537</v>
      </c>
      <c r="O26" s="198">
        <f>N26/M26</f>
        <v>9.4632856222672146E-2</v>
      </c>
      <c r="P26" s="524">
        <f t="shared" ref="P26" si="16">SUM(P22:P25)</f>
        <v>3858.8669999999997</v>
      </c>
      <c r="Q26" s="266">
        <f t="shared" ref="Q26:R26" si="17">SUM(Q22:Q25)</f>
        <v>0.61599999999999999</v>
      </c>
      <c r="R26" s="227">
        <f t="shared" si="17"/>
        <v>52235</v>
      </c>
      <c r="S26" s="897">
        <f t="shared" ref="S26:V26" si="18">SUM(S22:S25)</f>
        <v>52235</v>
      </c>
      <c r="T26" s="898">
        <f t="shared" si="18"/>
        <v>0.61599999999999999</v>
      </c>
      <c r="U26" s="863">
        <f t="shared" si="18"/>
        <v>56988.385000000002</v>
      </c>
      <c r="V26" s="863">
        <f t="shared" si="18"/>
        <v>0.685608</v>
      </c>
      <c r="W26" s="148"/>
      <c r="X26" s="148"/>
      <c r="Y26"/>
      <c r="Z26"/>
      <c r="AA26"/>
      <c r="AB26"/>
      <c r="AC26"/>
      <c r="AD26"/>
      <c r="AE26"/>
      <c r="AF26"/>
      <c r="AG26"/>
      <c r="AH26"/>
      <c r="AI26"/>
      <c r="AJ26"/>
      <c r="AK26"/>
      <c r="AL26"/>
      <c r="AM26"/>
    </row>
    <row r="27" spans="2:39" ht="15" thickBot="1" x14ac:dyDescent="0.4">
      <c r="B27" s="165"/>
      <c r="C27" s="164"/>
      <c r="D27" s="210"/>
      <c r="E27" s="211"/>
      <c r="F27" s="211"/>
      <c r="G27" s="190"/>
      <c r="H27" s="180"/>
      <c r="I27" s="181"/>
      <c r="J27" s="181"/>
      <c r="K27" s="190"/>
      <c r="L27" s="210"/>
      <c r="M27" s="211"/>
      <c r="N27" s="211"/>
      <c r="O27" s="201"/>
      <c r="P27" s="525"/>
      <c r="Q27" s="269"/>
      <c r="R27" s="211"/>
      <c r="S27" s="899"/>
      <c r="T27" s="900"/>
      <c r="U27" s="878"/>
      <c r="V27" s="879"/>
      <c r="W27" s="151"/>
      <c r="X27" s="151"/>
    </row>
    <row r="28" spans="2:39" x14ac:dyDescent="0.35">
      <c r="B28" s="944" t="s">
        <v>127</v>
      </c>
      <c r="C28" s="157" t="s">
        <v>128</v>
      </c>
      <c r="D28" s="712">
        <v>0</v>
      </c>
      <c r="E28" s="217" t="s">
        <v>101</v>
      </c>
      <c r="F28" s="217">
        <v>0</v>
      </c>
      <c r="G28" s="218" t="s">
        <v>101</v>
      </c>
      <c r="H28" s="653">
        <v>0</v>
      </c>
      <c r="I28" s="422" t="s">
        <v>101</v>
      </c>
      <c r="J28" s="655">
        <v>0</v>
      </c>
      <c r="K28" s="218" t="s">
        <v>101</v>
      </c>
      <c r="L28" s="684">
        <v>0</v>
      </c>
      <c r="M28" s="217" t="s">
        <v>101</v>
      </c>
      <c r="N28" s="230">
        <v>0</v>
      </c>
      <c r="O28" s="196" t="s">
        <v>101</v>
      </c>
      <c r="P28" s="696">
        <f>L28*$AG$12</f>
        <v>0</v>
      </c>
      <c r="Q28" s="264">
        <v>0</v>
      </c>
      <c r="R28" s="230">
        <v>0</v>
      </c>
      <c r="S28" s="901">
        <v>0</v>
      </c>
      <c r="T28" s="902">
        <v>0</v>
      </c>
      <c r="U28" s="903">
        <f>R28*$AG$12</f>
        <v>0</v>
      </c>
      <c r="V28" s="904">
        <f>T28*$AH$12</f>
        <v>0</v>
      </c>
      <c r="W28" s="151"/>
      <c r="X28" s="151"/>
    </row>
    <row r="29" spans="2:39" x14ac:dyDescent="0.35">
      <c r="B29" s="945"/>
      <c r="C29" s="928" t="s">
        <v>43</v>
      </c>
      <c r="D29" s="713">
        <v>0</v>
      </c>
      <c r="E29" s="219" t="s">
        <v>101</v>
      </c>
      <c r="F29" s="219">
        <v>0</v>
      </c>
      <c r="G29" s="220" t="s">
        <v>101</v>
      </c>
      <c r="H29" s="654">
        <v>0</v>
      </c>
      <c r="I29" s="423" t="s">
        <v>101</v>
      </c>
      <c r="J29" s="423">
        <v>0</v>
      </c>
      <c r="K29" s="220" t="s">
        <v>101</v>
      </c>
      <c r="L29" s="693">
        <v>0</v>
      </c>
      <c r="M29" s="219" t="s">
        <v>101</v>
      </c>
      <c r="N29" s="696">
        <v>0</v>
      </c>
      <c r="O29" s="197" t="s">
        <v>101</v>
      </c>
      <c r="P29" s="696">
        <f t="shared" ref="P29:P31" si="19">L29*$AG$12</f>
        <v>0</v>
      </c>
      <c r="Q29" s="736">
        <v>0</v>
      </c>
      <c r="R29" s="696">
        <v>0</v>
      </c>
      <c r="S29" s="905">
        <v>0</v>
      </c>
      <c r="T29" s="903">
        <v>0</v>
      </c>
      <c r="U29" s="903">
        <f>R29*$AG$12</f>
        <v>0</v>
      </c>
      <c r="V29" s="904">
        <f>T29*$AH$12</f>
        <v>0</v>
      </c>
      <c r="W29" s="151"/>
      <c r="X29" s="151"/>
    </row>
    <row r="30" spans="2:39" x14ac:dyDescent="0.35">
      <c r="B30" s="945"/>
      <c r="C30" s="928" t="s">
        <v>129</v>
      </c>
      <c r="D30" s="713">
        <v>0</v>
      </c>
      <c r="E30" s="219" t="s">
        <v>101</v>
      </c>
      <c r="F30" s="219">
        <v>0</v>
      </c>
      <c r="G30" s="220" t="s">
        <v>101</v>
      </c>
      <c r="H30" s="654">
        <v>0</v>
      </c>
      <c r="I30" s="423" t="s">
        <v>101</v>
      </c>
      <c r="J30" s="423">
        <v>0</v>
      </c>
      <c r="K30" s="220" t="s">
        <v>101</v>
      </c>
      <c r="L30" s="693">
        <v>0</v>
      </c>
      <c r="M30" s="219" t="s">
        <v>101</v>
      </c>
      <c r="N30" s="696">
        <v>0</v>
      </c>
      <c r="O30" s="197" t="s">
        <v>101</v>
      </c>
      <c r="P30" s="696">
        <f t="shared" si="19"/>
        <v>0</v>
      </c>
      <c r="Q30" s="736">
        <v>0</v>
      </c>
      <c r="R30" s="696">
        <v>0</v>
      </c>
      <c r="S30" s="905">
        <v>0</v>
      </c>
      <c r="T30" s="903">
        <v>0</v>
      </c>
      <c r="U30" s="903">
        <f>R30*$AG$12</f>
        <v>0</v>
      </c>
      <c r="V30" s="904">
        <f>T30*$AH$12</f>
        <v>0</v>
      </c>
      <c r="W30" s="151"/>
      <c r="X30" s="151"/>
    </row>
    <row r="31" spans="2:39" x14ac:dyDescent="0.35">
      <c r="B31" s="945"/>
      <c r="C31" s="928" t="s">
        <v>47</v>
      </c>
      <c r="D31" s="713">
        <v>0</v>
      </c>
      <c r="E31" s="219" t="s">
        <v>101</v>
      </c>
      <c r="F31" s="219">
        <v>0</v>
      </c>
      <c r="G31" s="220" t="s">
        <v>101</v>
      </c>
      <c r="H31" s="654">
        <v>0</v>
      </c>
      <c r="I31" s="423" t="s">
        <v>101</v>
      </c>
      <c r="J31" s="423">
        <v>0</v>
      </c>
      <c r="K31" s="220" t="s">
        <v>101</v>
      </c>
      <c r="L31" s="693">
        <v>0</v>
      </c>
      <c r="M31" s="219" t="s">
        <v>101</v>
      </c>
      <c r="N31" s="696">
        <v>0</v>
      </c>
      <c r="O31" s="197" t="s">
        <v>101</v>
      </c>
      <c r="P31" s="696">
        <f t="shared" si="19"/>
        <v>0</v>
      </c>
      <c r="Q31" s="736">
        <v>0</v>
      </c>
      <c r="R31" s="696">
        <v>0</v>
      </c>
      <c r="S31" s="905">
        <v>0</v>
      </c>
      <c r="T31" s="903">
        <v>0</v>
      </c>
      <c r="U31" s="903">
        <f>R31*$AG$12</f>
        <v>0</v>
      </c>
      <c r="V31" s="904">
        <f>T31*$AH$12</f>
        <v>0</v>
      </c>
      <c r="W31" s="151"/>
      <c r="X31" s="151"/>
    </row>
    <row r="32" spans="2:39" ht="15" thickBot="1" x14ac:dyDescent="0.4">
      <c r="B32" s="221"/>
      <c r="C32" s="244" t="s">
        <v>130</v>
      </c>
      <c r="D32" s="237">
        <f>SUM(D28:D31)</f>
        <v>0</v>
      </c>
      <c r="E32" s="238">
        <v>2088</v>
      </c>
      <c r="F32" s="238">
        <f>SUM(F28:F31)</f>
        <v>0</v>
      </c>
      <c r="G32" s="239">
        <f t="shared" ref="G32" si="20">F32/E32</f>
        <v>0</v>
      </c>
      <c r="H32" s="240">
        <f>155.27+9.69</f>
        <v>164.96</v>
      </c>
      <c r="I32" s="272">
        <f>1364884/1000</f>
        <v>1364.884</v>
      </c>
      <c r="J32" s="272">
        <f>H32</f>
        <v>164.96</v>
      </c>
      <c r="K32" s="242">
        <f>J32/I32</f>
        <v>0.12086008774372035</v>
      </c>
      <c r="L32" s="237">
        <f>SUM(L28:L31)</f>
        <v>0</v>
      </c>
      <c r="M32" s="238">
        <f>2298119/1000</f>
        <v>2298.1190000000001</v>
      </c>
      <c r="N32" s="243">
        <f>SUM(N28:N31)</f>
        <v>0</v>
      </c>
      <c r="O32" s="737">
        <f>N32/M32</f>
        <v>0</v>
      </c>
      <c r="P32" s="245">
        <f t="shared" ref="P32:R32" si="21">SUM(P28:P31)</f>
        <v>0</v>
      </c>
      <c r="Q32" s="265">
        <f t="shared" si="21"/>
        <v>0</v>
      </c>
      <c r="R32" s="245">
        <f t="shared" si="21"/>
        <v>0</v>
      </c>
      <c r="S32" s="860">
        <f t="shared" ref="S32:U32" si="22">SUM(S28:S31)</f>
        <v>0</v>
      </c>
      <c r="T32" s="906">
        <f t="shared" si="22"/>
        <v>0</v>
      </c>
      <c r="U32" s="906">
        <f t="shared" si="22"/>
        <v>0</v>
      </c>
      <c r="V32" s="906">
        <f>SUM(V28:V31)</f>
        <v>0</v>
      </c>
      <c r="W32" s="151"/>
      <c r="X32" s="151"/>
    </row>
    <row r="33" spans="2:39" ht="15" thickBot="1" x14ac:dyDescent="0.4">
      <c r="B33" s="165"/>
      <c r="C33" s="164"/>
      <c r="D33" s="210"/>
      <c r="E33" s="211"/>
      <c r="F33" s="211"/>
      <c r="G33" s="190"/>
      <c r="H33" s="275"/>
      <c r="I33" s="276"/>
      <c r="J33" s="276"/>
      <c r="K33" s="277"/>
      <c r="L33" s="210"/>
      <c r="M33" s="211"/>
      <c r="N33" s="211"/>
      <c r="O33" s="201"/>
      <c r="P33" s="211"/>
      <c r="Q33" s="269"/>
      <c r="R33" s="211"/>
      <c r="S33" s="899"/>
      <c r="T33" s="900"/>
      <c r="U33" s="900"/>
      <c r="V33" s="907"/>
      <c r="W33" s="148"/>
      <c r="X33" s="148"/>
    </row>
    <row r="34" spans="2:39" ht="15" thickBot="1" x14ac:dyDescent="0.4">
      <c r="B34" s="223" t="s">
        <v>50</v>
      </c>
      <c r="C34" s="223"/>
      <c r="D34" s="224"/>
      <c r="E34" s="225"/>
      <c r="F34" s="225"/>
      <c r="G34" s="226"/>
      <c r="H34" s="273"/>
      <c r="I34" s="174"/>
      <c r="J34" s="174"/>
      <c r="K34" s="274"/>
      <c r="L34" s="284"/>
      <c r="M34" s="263"/>
      <c r="N34" s="285"/>
      <c r="O34" s="195"/>
      <c r="P34" s="285"/>
      <c r="Q34" s="271"/>
      <c r="R34" s="823"/>
      <c r="S34" s="908"/>
      <c r="T34" s="909"/>
      <c r="U34" s="909"/>
      <c r="V34" s="910"/>
      <c r="W34" s="145"/>
      <c r="X34" s="145"/>
    </row>
    <row r="35" spans="2:39" x14ac:dyDescent="0.35">
      <c r="B35" s="222" t="s">
        <v>51</v>
      </c>
      <c r="C35" s="298"/>
      <c r="D35" s="290" t="s">
        <v>101</v>
      </c>
      <c r="E35" s="291" t="s">
        <v>101</v>
      </c>
      <c r="F35" s="291" t="s">
        <v>101</v>
      </c>
      <c r="G35" s="300" t="s">
        <v>101</v>
      </c>
      <c r="H35" s="295" t="s">
        <v>101</v>
      </c>
      <c r="I35" s="296" t="s">
        <v>101</v>
      </c>
      <c r="J35" s="296" t="s">
        <v>101</v>
      </c>
      <c r="K35" s="297" t="s">
        <v>101</v>
      </c>
      <c r="L35" s="290" t="s">
        <v>101</v>
      </c>
      <c r="M35" s="291" t="s">
        <v>101</v>
      </c>
      <c r="N35" s="230" t="s">
        <v>101</v>
      </c>
      <c r="O35" s="196" t="s">
        <v>101</v>
      </c>
      <c r="P35" s="230" t="s">
        <v>101</v>
      </c>
      <c r="Q35" s="264" t="s">
        <v>101</v>
      </c>
      <c r="R35" s="230" t="s">
        <v>101</v>
      </c>
      <c r="S35" s="901" t="s">
        <v>101</v>
      </c>
      <c r="T35" s="902" t="s">
        <v>101</v>
      </c>
      <c r="U35" s="902" t="s">
        <v>101</v>
      </c>
      <c r="V35" s="911" t="s">
        <v>101</v>
      </c>
      <c r="W35" s="148"/>
      <c r="X35" s="148"/>
    </row>
    <row r="36" spans="2:39" x14ac:dyDescent="0.35">
      <c r="B36" s="257" t="s">
        <v>131</v>
      </c>
      <c r="C36" s="299"/>
      <c r="D36" s="693">
        <v>113</v>
      </c>
      <c r="E36" s="748">
        <v>574</v>
      </c>
      <c r="F36" s="219">
        <v>113</v>
      </c>
      <c r="G36" s="749">
        <f t="shared" ref="G36" si="23">F36/E36</f>
        <v>0.19686411149825783</v>
      </c>
      <c r="H36" s="750">
        <v>395.72</v>
      </c>
      <c r="I36" s="751">
        <f>2170777.5/1000</f>
        <v>2170.7775000000001</v>
      </c>
      <c r="J36" s="752">
        <v>395.72</v>
      </c>
      <c r="K36" s="749">
        <f>J36/I36</f>
        <v>0.18229413194120539</v>
      </c>
      <c r="L36" s="753">
        <v>104.89779299999999</v>
      </c>
      <c r="M36" s="372" t="s">
        <v>101</v>
      </c>
      <c r="N36" s="372">
        <v>104.898</v>
      </c>
      <c r="O36" s="372" t="s">
        <v>101</v>
      </c>
      <c r="P36" s="372">
        <v>112.97499999999999</v>
      </c>
      <c r="Q36" s="725">
        <v>1.7000000000000001E-2</v>
      </c>
      <c r="R36" s="722">
        <v>1591.1590000000001</v>
      </c>
      <c r="S36" s="912">
        <v>1591.1590000000001</v>
      </c>
      <c r="T36" s="888">
        <v>1.7000000000000001E-2</v>
      </c>
      <c r="U36" s="913">
        <v>2146.6412719999998</v>
      </c>
      <c r="V36" s="914">
        <v>2.2846000000000002E-2</v>
      </c>
      <c r="W36" s="148"/>
      <c r="X36" s="148"/>
    </row>
    <row r="37" spans="2:39" ht="15" thickBot="1" x14ac:dyDescent="0.4">
      <c r="B37" s="88" t="s">
        <v>52</v>
      </c>
      <c r="C37" s="166"/>
      <c r="D37" s="212">
        <f>SUM(D35:D36)</f>
        <v>113</v>
      </c>
      <c r="E37" s="212">
        <f t="shared" ref="E37:F37" si="24">SUM(E35:E36)</f>
        <v>574</v>
      </c>
      <c r="F37" s="212">
        <f t="shared" si="24"/>
        <v>113</v>
      </c>
      <c r="G37" s="191">
        <f t="shared" ref="G37" si="25">F37/E37</f>
        <v>0.19686411149825783</v>
      </c>
      <c r="H37" s="182">
        <f>SUM(H35:H36)</f>
        <v>395.72</v>
      </c>
      <c r="I37" s="182">
        <f t="shared" ref="I37:K37" si="26">SUM(I35:I36)</f>
        <v>2170.7775000000001</v>
      </c>
      <c r="J37" s="182">
        <f t="shared" si="26"/>
        <v>395.72</v>
      </c>
      <c r="K37" s="182">
        <f t="shared" si="26"/>
        <v>0.18229413194120539</v>
      </c>
      <c r="L37" s="212">
        <f>SUM(L35:L36)</f>
        <v>104.89779299999999</v>
      </c>
      <c r="M37" s="212">
        <f t="shared" ref="M37:N37" si="27">SUM(M35:M36)</f>
        <v>0</v>
      </c>
      <c r="N37" s="212">
        <f t="shared" si="27"/>
        <v>104.898</v>
      </c>
      <c r="O37" s="202" t="s">
        <v>101</v>
      </c>
      <c r="P37" s="213">
        <f>SUM(P35:P36)</f>
        <v>112.97499999999999</v>
      </c>
      <c r="Q37" s="213">
        <f t="shared" ref="Q37:V37" si="28">SUM(Q35:Q36)</f>
        <v>1.7000000000000001E-2</v>
      </c>
      <c r="R37" s="213">
        <f t="shared" si="28"/>
        <v>1591.1590000000001</v>
      </c>
      <c r="S37" s="915">
        <f t="shared" si="28"/>
        <v>1591.1590000000001</v>
      </c>
      <c r="T37" s="916">
        <f t="shared" si="28"/>
        <v>1.7000000000000001E-2</v>
      </c>
      <c r="U37" s="916">
        <f t="shared" si="28"/>
        <v>2146.6412719999998</v>
      </c>
      <c r="V37" s="916">
        <f t="shared" si="28"/>
        <v>2.2846000000000002E-2</v>
      </c>
      <c r="W37" s="151"/>
      <c r="X37" s="151"/>
    </row>
    <row r="38" spans="2:39" x14ac:dyDescent="0.35">
      <c r="B38" s="129"/>
      <c r="C38" s="130"/>
      <c r="D38" s="214"/>
      <c r="E38" s="206"/>
      <c r="F38" s="206"/>
      <c r="G38" s="192"/>
      <c r="H38" s="183"/>
      <c r="I38" s="177"/>
      <c r="J38" s="177"/>
      <c r="K38" s="192"/>
      <c r="L38" s="286"/>
      <c r="M38" s="287"/>
      <c r="N38" s="287"/>
      <c r="O38" s="288"/>
      <c r="P38" s="287"/>
      <c r="Q38" s="289"/>
      <c r="R38" s="287"/>
      <c r="S38" s="876"/>
      <c r="T38" s="877"/>
      <c r="U38" s="877"/>
      <c r="V38" s="917"/>
      <c r="W38" s="148"/>
      <c r="X38" s="148"/>
    </row>
    <row r="39" spans="2:39" ht="15" thickBot="1" x14ac:dyDescent="0.4">
      <c r="B39" s="88" t="s">
        <v>53</v>
      </c>
      <c r="C39" s="128"/>
      <c r="D39" s="212">
        <f>SUM(D37,D32,D26,D19)</f>
        <v>287879</v>
      </c>
      <c r="E39" s="916">
        <f>SUM(E37,E32,E26,E19)</f>
        <v>217845</v>
      </c>
      <c r="F39" s="213">
        <f>SUM(F37,F32,F26,F19)</f>
        <v>287879</v>
      </c>
      <c r="G39" s="191">
        <f>F39/E39</f>
        <v>1.3214854598453027</v>
      </c>
      <c r="H39" s="253">
        <f>SUM(H37,H32,H26,H19)</f>
        <v>4552.75</v>
      </c>
      <c r="I39" s="918">
        <f>SUM(I37,I32,I26,I19)</f>
        <v>37245.1685</v>
      </c>
      <c r="J39" s="179">
        <f>SUM(J37,J32,J26,J19)</f>
        <v>4552.75</v>
      </c>
      <c r="K39" s="254">
        <f>J39/I39</f>
        <v>0.12223733126620168</v>
      </c>
      <c r="L39" s="212">
        <f>SUM(L37,L32,L26,L19)</f>
        <v>15803.087684080048</v>
      </c>
      <c r="M39" s="213">
        <f>SUM(M37,M32,M26,M19)</f>
        <v>59555.728000000003</v>
      </c>
      <c r="N39" s="213">
        <f>SUM(N37,N32,N26,N19)</f>
        <v>15803.087891080049</v>
      </c>
      <c r="O39" s="202">
        <f>N39/M39</f>
        <v>0.26534958805440256</v>
      </c>
      <c r="P39" s="213">
        <f>SUM(P37,P32,P26,P19)</f>
        <v>17531.568728554255</v>
      </c>
      <c r="Q39" s="270">
        <f>SUM(Q37,Q32,Q26,Q19)</f>
        <v>3.7934320000000001</v>
      </c>
      <c r="R39" s="213">
        <f>SUM(R37,R32,R26,R19)</f>
        <v>184039.86900000001</v>
      </c>
      <c r="S39" s="915">
        <f t="shared" ref="S39:U39" si="29">SUM(S37,S32,S26,S19)</f>
        <v>184040.15899999999</v>
      </c>
      <c r="T39" s="919">
        <f>SUM(T37,T32,T26,T19)</f>
        <v>3.7934320000000001</v>
      </c>
      <c r="U39" s="916">
        <f t="shared" si="29"/>
        <v>204323.31292200001</v>
      </c>
      <c r="V39" s="920">
        <f>SUM(V37,V32,V26,V19)</f>
        <v>4.2923838879999998</v>
      </c>
      <c r="W39" s="148"/>
      <c r="X39" s="148"/>
    </row>
    <row r="40" spans="2:39" x14ac:dyDescent="0.35">
      <c r="B40" s="19" t="s">
        <v>54</v>
      </c>
      <c r="C40" s="21"/>
      <c r="D40" s="662"/>
      <c r="E40" s="663"/>
      <c r="F40" s="663"/>
      <c r="G40" s="664"/>
      <c r="H40" s="921">
        <v>17.77</v>
      </c>
      <c r="I40" s="921">
        <f>200000/1000</f>
        <v>200</v>
      </c>
      <c r="J40" s="921">
        <v>17.77</v>
      </c>
      <c r="K40" s="193">
        <f>J40/I40</f>
        <v>8.8849999999999998E-2</v>
      </c>
      <c r="L40" s="665"/>
      <c r="M40" s="663"/>
      <c r="N40" s="663"/>
      <c r="O40" s="666"/>
      <c r="P40" s="663"/>
      <c r="Q40" s="663"/>
      <c r="R40" s="824"/>
      <c r="S40" s="93"/>
      <c r="T40" s="95"/>
      <c r="U40" s="93"/>
      <c r="V40" s="93"/>
      <c r="W40" s="96"/>
      <c r="X40" s="96"/>
      <c r="Y40" s="93"/>
      <c r="Z40" s="93"/>
      <c r="AA40" s="93"/>
      <c r="AB40" s="93"/>
      <c r="AC40" s="93"/>
      <c r="AD40" s="93"/>
      <c r="AE40" s="93"/>
      <c r="AF40" s="93"/>
      <c r="AG40" s="93"/>
      <c r="AH40" s="93"/>
      <c r="AI40" s="93"/>
      <c r="AJ40" s="93"/>
      <c r="AK40" s="93"/>
      <c r="AL40" s="93"/>
      <c r="AM40" s="93"/>
    </row>
    <row r="41" spans="2:39" ht="16.5" x14ac:dyDescent="0.35">
      <c r="B41" s="667" t="s">
        <v>132</v>
      </c>
      <c r="C41" s="668"/>
      <c r="D41" s="668"/>
      <c r="E41" s="668"/>
      <c r="F41" s="668"/>
      <c r="G41" s="668"/>
      <c r="H41" s="668"/>
      <c r="I41" s="668"/>
      <c r="J41" s="669"/>
      <c r="K41" s="668"/>
      <c r="L41" s="668"/>
      <c r="M41" s="668"/>
      <c r="N41" s="670"/>
      <c r="O41" s="668"/>
      <c r="P41" s="668"/>
      <c r="Q41" s="668"/>
      <c r="R41" s="668"/>
      <c r="S41" s="845"/>
      <c r="T41" s="671"/>
      <c r="U41" s="668"/>
      <c r="V41" s="672"/>
      <c r="W41" s="96"/>
      <c r="X41" s="96"/>
      <c r="Y41" s="93"/>
      <c r="Z41" s="93"/>
      <c r="AA41" s="93"/>
      <c r="AB41" s="93"/>
      <c r="AC41" s="93"/>
      <c r="AD41" s="93"/>
      <c r="AE41" s="93"/>
      <c r="AF41" s="93"/>
      <c r="AG41" s="93"/>
      <c r="AH41" s="93"/>
      <c r="AI41" s="93"/>
      <c r="AJ41" s="93"/>
      <c r="AK41" s="93"/>
      <c r="AL41" s="93"/>
      <c r="AM41" s="93"/>
    </row>
    <row r="42" spans="2:39" ht="16.5" x14ac:dyDescent="0.35">
      <c r="B42" s="673" t="s">
        <v>133</v>
      </c>
      <c r="C42" s="93"/>
      <c r="D42" s="93"/>
      <c r="E42" s="93"/>
      <c r="F42" s="93"/>
      <c r="G42" s="93"/>
      <c r="H42" s="93"/>
      <c r="I42" s="93"/>
      <c r="J42" s="93"/>
      <c r="K42" s="93"/>
      <c r="L42" s="93"/>
      <c r="M42" s="93"/>
      <c r="N42" s="93"/>
      <c r="O42" s="93"/>
      <c r="P42" s="93"/>
      <c r="Q42" s="93"/>
      <c r="R42" s="93"/>
      <c r="T42" s="674"/>
      <c r="V42" s="675"/>
    </row>
    <row r="43" spans="2:39" ht="16.5" x14ac:dyDescent="0.35">
      <c r="B43" s="673" t="s">
        <v>134</v>
      </c>
      <c r="N43" s="676"/>
      <c r="O43" s="676"/>
      <c r="P43" s="676"/>
      <c r="Q43" s="677"/>
      <c r="T43" s="674"/>
      <c r="V43" s="675"/>
    </row>
    <row r="44" spans="2:39" ht="16.5" x14ac:dyDescent="0.35">
      <c r="B44" s="673" t="s">
        <v>135</v>
      </c>
      <c r="N44" s="676"/>
      <c r="O44" s="676"/>
      <c r="P44" s="676"/>
      <c r="Q44" s="677"/>
      <c r="T44" s="674"/>
      <c r="V44" s="675"/>
    </row>
    <row r="45" spans="2:39" x14ac:dyDescent="0.35">
      <c r="B45" s="298" t="s">
        <v>136</v>
      </c>
      <c r="C45" s="678"/>
      <c r="D45" s="678"/>
      <c r="E45" s="678"/>
      <c r="F45" s="678"/>
      <c r="G45" s="678"/>
      <c r="H45" s="678"/>
      <c r="I45" s="678"/>
      <c r="J45" s="678"/>
      <c r="K45" s="678"/>
      <c r="L45" s="678"/>
      <c r="M45" s="678"/>
      <c r="N45" s="679"/>
      <c r="O45" s="679"/>
      <c r="P45" s="679"/>
      <c r="Q45" s="680"/>
      <c r="R45" s="678"/>
      <c r="S45" s="678"/>
      <c r="T45" s="580"/>
      <c r="U45" s="678"/>
      <c r="V45" s="681"/>
    </row>
    <row r="49" spans="2:24" x14ac:dyDescent="0.35">
      <c r="K49" s="247"/>
    </row>
    <row r="50" spans="2:24" x14ac:dyDescent="0.35">
      <c r="K50" s="247"/>
    </row>
    <row r="51" spans="2:24" x14ac:dyDescent="0.35">
      <c r="K51" s="247"/>
    </row>
    <row r="52" spans="2:24" x14ac:dyDescent="0.35">
      <c r="K52" s="247"/>
    </row>
    <row r="53" spans="2:24" x14ac:dyDescent="0.35">
      <c r="K53" s="247"/>
    </row>
    <row r="54" spans="2:24" x14ac:dyDescent="0.35">
      <c r="K54" s="247"/>
    </row>
    <row r="55" spans="2:24" ht="15" x14ac:dyDescent="0.4">
      <c r="B55" s="825"/>
      <c r="K55" s="247"/>
    </row>
    <row r="56" spans="2:24" x14ac:dyDescent="0.35">
      <c r="K56" s="247"/>
    </row>
    <row r="57" spans="2:24" x14ac:dyDescent="0.35">
      <c r="K57" s="247"/>
    </row>
    <row r="58" spans="2:24" x14ac:dyDescent="0.35">
      <c r="K58" s="247"/>
    </row>
    <row r="59" spans="2:24" x14ac:dyDescent="0.35">
      <c r="K59" s="247"/>
    </row>
    <row r="60" spans="2:24" x14ac:dyDescent="0.35">
      <c r="K60" s="247"/>
    </row>
    <row r="62" spans="2:24" x14ac:dyDescent="0.35">
      <c r="K62" s="247"/>
      <c r="M62" s="2"/>
      <c r="P62" s="3"/>
      <c r="Q62"/>
      <c r="S62" s="5"/>
      <c r="T62"/>
      <c r="V62" s="2"/>
      <c r="X62"/>
    </row>
    <row r="63" spans="2:24" x14ac:dyDescent="0.35">
      <c r="K63" s="247"/>
      <c r="M63" s="2"/>
      <c r="P63" s="3"/>
      <c r="Q63"/>
      <c r="S63" s="5"/>
      <c r="T63"/>
      <c r="V63" s="2"/>
      <c r="X63"/>
    </row>
    <row r="64" spans="2:24" x14ac:dyDescent="0.35">
      <c r="K64" s="247"/>
      <c r="M64" s="2"/>
      <c r="P64" s="3"/>
      <c r="Q64"/>
      <c r="S64" s="5"/>
      <c r="T64"/>
      <c r="V64" s="2"/>
      <c r="X64"/>
    </row>
    <row r="65" spans="11:24" x14ac:dyDescent="0.35">
      <c r="K65" s="247"/>
      <c r="M65" s="2"/>
      <c r="P65" s="3"/>
      <c r="Q65"/>
      <c r="S65" s="5"/>
      <c r="T65"/>
      <c r="V65" s="2"/>
      <c r="X65"/>
    </row>
    <row r="66" spans="11:24" x14ac:dyDescent="0.35">
      <c r="K66" s="247"/>
      <c r="M66" s="2"/>
      <c r="P66" s="3"/>
      <c r="Q66"/>
      <c r="S66" s="5"/>
      <c r="T66"/>
      <c r="V66" s="2"/>
      <c r="X66"/>
    </row>
    <row r="67" spans="11:24" x14ac:dyDescent="0.35">
      <c r="K67" s="247"/>
      <c r="M67" s="2"/>
      <c r="P67" s="3"/>
      <c r="Q67"/>
      <c r="S67" s="5"/>
      <c r="T67"/>
      <c r="V67" s="2"/>
      <c r="X67"/>
    </row>
    <row r="68" spans="11:24" x14ac:dyDescent="0.35">
      <c r="K68" s="247"/>
      <c r="M68" s="2"/>
      <c r="P68" s="3"/>
      <c r="Q68"/>
      <c r="S68" s="5"/>
      <c r="T68"/>
      <c r="V68" s="2"/>
      <c r="X68"/>
    </row>
    <row r="69" spans="11:24" x14ac:dyDescent="0.35">
      <c r="K69" s="247"/>
      <c r="M69" s="2"/>
      <c r="P69" s="3"/>
      <c r="Q69"/>
      <c r="S69" s="5"/>
      <c r="T69"/>
      <c r="V69" s="2"/>
      <c r="X69"/>
    </row>
    <row r="70" spans="11:24" x14ac:dyDescent="0.35">
      <c r="K70" s="247"/>
      <c r="M70" s="2"/>
      <c r="P70" s="3"/>
      <c r="Q70"/>
      <c r="S70" s="5"/>
      <c r="T70"/>
      <c r="V70" s="2"/>
      <c r="X70"/>
    </row>
    <row r="71" spans="11:24" x14ac:dyDescent="0.35">
      <c r="K71" s="247"/>
      <c r="M71" s="2"/>
      <c r="P71" s="3"/>
      <c r="Q71"/>
      <c r="S71" s="5"/>
      <c r="T71"/>
      <c r="V71" s="2"/>
      <c r="X71"/>
    </row>
    <row r="72" spans="11:24" x14ac:dyDescent="0.35">
      <c r="K72" s="247"/>
      <c r="M72" s="2"/>
      <c r="P72" s="3"/>
      <c r="Q72"/>
      <c r="S72" s="5"/>
      <c r="T72"/>
      <c r="V72" s="2"/>
      <c r="X72"/>
    </row>
    <row r="73" spans="11:24" x14ac:dyDescent="0.35">
      <c r="K73" s="247"/>
      <c r="M73" s="2"/>
      <c r="P73" s="3"/>
      <c r="Q73"/>
      <c r="S73" s="5"/>
      <c r="T73"/>
      <c r="V73" s="2"/>
      <c r="X73"/>
    </row>
  </sheetData>
  <mergeCells count="9">
    <mergeCell ref="B28:B31"/>
    <mergeCell ref="B23:B25"/>
    <mergeCell ref="B8:B13"/>
    <mergeCell ref="B15:B17"/>
    <mergeCell ref="S1:V3"/>
    <mergeCell ref="S4:V4"/>
    <mergeCell ref="D4:G4"/>
    <mergeCell ref="H4:K4"/>
    <mergeCell ref="L4:R4"/>
  </mergeCells>
  <pageMargins left="0.25" right="0.25" top="0.75" bottom="0.75" header="0.3" footer="0.3"/>
  <pageSetup paperSize="5" scale="10" fitToHeight="0" orientation="landscape" r:id="rId1"/>
  <headerFooter>
    <oddHeader xml:space="preserve">&amp;CACE Q1 of Program Year 2022 Portfolio Summary Reporting Table </oddHeader>
    <oddFooter>&amp;C&amp;N&amp;R&amp;D</oddFooter>
  </headerFooter>
  <ignoredErrors>
    <ignoredError sqref="M14 O14 M32 O32 O26 O19 G14 I14 G19 K39 G37 G39 O39"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T13"/>
  <sheetViews>
    <sheetView workbookViewId="0"/>
  </sheetViews>
  <sheetFormatPr defaultColWidth="8.81640625" defaultRowHeight="14.5" x14ac:dyDescent="0.35"/>
  <cols>
    <col min="1" max="1" width="4.7265625" customWidth="1"/>
    <col min="2" max="2" width="30.7265625" bestFit="1" customWidth="1"/>
    <col min="3" max="8" width="7.26953125" customWidth="1"/>
    <col min="9" max="14" width="7.7265625" customWidth="1"/>
    <col min="15" max="15" width="14.7265625" customWidth="1"/>
    <col min="16" max="20" width="7.7265625" customWidth="1"/>
    <col min="21" max="21" width="30.7265625" bestFit="1" customWidth="1"/>
  </cols>
  <sheetData>
    <row r="1" spans="1:20" x14ac:dyDescent="0.35">
      <c r="A1" s="305"/>
      <c r="B1" s="305"/>
      <c r="C1" s="305"/>
      <c r="D1" s="305"/>
      <c r="E1" s="305"/>
      <c r="F1" s="305"/>
      <c r="G1" s="305"/>
      <c r="H1" s="305"/>
      <c r="I1" s="305"/>
    </row>
    <row r="2" spans="1:20" ht="15.5" x14ac:dyDescent="0.35">
      <c r="A2" s="305"/>
      <c r="B2" s="961" t="s">
        <v>154</v>
      </c>
      <c r="C2" s="961"/>
      <c r="D2" s="961"/>
      <c r="E2" s="961"/>
      <c r="F2" s="961"/>
      <c r="G2" s="961"/>
      <c r="H2" s="961"/>
      <c r="I2" s="961"/>
      <c r="J2" s="961"/>
      <c r="K2" s="961"/>
      <c r="L2" s="961"/>
      <c r="M2" s="961"/>
      <c r="N2" s="961"/>
      <c r="O2" s="586"/>
      <c r="P2" s="586"/>
      <c r="Q2" s="586"/>
      <c r="R2" s="586"/>
      <c r="S2" s="586"/>
      <c r="T2" s="586"/>
    </row>
    <row r="3" spans="1:20" x14ac:dyDescent="0.35">
      <c r="A3" s="305"/>
      <c r="B3" s="565"/>
      <c r="C3" s="960" t="s">
        <v>155</v>
      </c>
      <c r="D3" s="960"/>
      <c r="E3" s="960"/>
      <c r="F3" s="960"/>
      <c r="G3" s="960"/>
      <c r="H3" s="960"/>
      <c r="I3" s="960" t="s">
        <v>156</v>
      </c>
      <c r="J3" s="960"/>
      <c r="K3" s="960"/>
      <c r="L3" s="960"/>
      <c r="M3" s="960"/>
      <c r="N3" s="960"/>
    </row>
    <row r="4" spans="1:20" x14ac:dyDescent="0.35">
      <c r="A4" s="305"/>
      <c r="B4" s="585"/>
      <c r="C4" s="559" t="s">
        <v>157</v>
      </c>
      <c r="D4" s="560" t="s">
        <v>158</v>
      </c>
      <c r="E4" s="560" t="s">
        <v>159</v>
      </c>
      <c r="F4" s="561" t="s">
        <v>160</v>
      </c>
      <c r="G4" s="563" t="s">
        <v>161</v>
      </c>
      <c r="H4" s="563" t="s">
        <v>162</v>
      </c>
      <c r="I4" s="559" t="s">
        <v>157</v>
      </c>
      <c r="J4" s="560" t="s">
        <v>158</v>
      </c>
      <c r="K4" s="560" t="s">
        <v>159</v>
      </c>
      <c r="L4" s="561" t="s">
        <v>160</v>
      </c>
      <c r="M4" s="563" t="s">
        <v>161</v>
      </c>
      <c r="N4" s="564" t="s">
        <v>162</v>
      </c>
    </row>
    <row r="5" spans="1:20" x14ac:dyDescent="0.35">
      <c r="B5" s="562" t="s">
        <v>53</v>
      </c>
      <c r="C5" s="562">
        <v>3.8</v>
      </c>
      <c r="D5" s="562">
        <v>5.5</v>
      </c>
      <c r="E5" s="562">
        <v>3.2</v>
      </c>
      <c r="F5" s="562">
        <v>1.5</v>
      </c>
      <c r="G5" s="562">
        <v>2.9</v>
      </c>
      <c r="H5" s="562">
        <v>7.4</v>
      </c>
      <c r="I5" s="583">
        <f>'AP H - CostTest'!$G$49</f>
        <v>2.285043159517441</v>
      </c>
      <c r="J5" s="583">
        <f>'AP H - CostTest'!$G$23</f>
        <v>8.2032847419263124</v>
      </c>
      <c r="K5" s="583">
        <f>'AP H - CostTest'!$G$26</f>
        <v>0.98637837503576731</v>
      </c>
      <c r="L5" s="584">
        <f>'AP H - CostTest'!$G$31</f>
        <v>0.24942845238377662</v>
      </c>
      <c r="M5" s="584">
        <f>'AP H - CostTest'!$G$18</f>
        <v>0.8479883914825378</v>
      </c>
      <c r="N5" s="584">
        <v>1.01569297647583</v>
      </c>
    </row>
    <row r="6" spans="1:20" x14ac:dyDescent="0.35">
      <c r="B6" s="562" t="s">
        <v>112</v>
      </c>
      <c r="C6" s="562">
        <v>5.2</v>
      </c>
      <c r="D6" s="562">
        <v>6.5</v>
      </c>
      <c r="E6" s="562">
        <v>4.8</v>
      </c>
      <c r="F6" s="562">
        <v>2</v>
      </c>
      <c r="G6" s="562">
        <v>3.9</v>
      </c>
      <c r="H6" s="562">
        <v>11</v>
      </c>
      <c r="I6" s="583">
        <f>'AP H - CostTest'!$D$49</f>
        <v>1.3053558739628566</v>
      </c>
      <c r="J6" s="583">
        <f>'AP H - CostTest'!$D$23</f>
        <v>3.8039183004042512</v>
      </c>
      <c r="K6" s="583">
        <f>'AP H - CostTest'!$D$26</f>
        <v>0.6870310655102162</v>
      </c>
      <c r="L6" s="584">
        <f>'AP H - CostTest'!$D$31</f>
        <v>0.26101354461764914</v>
      </c>
      <c r="M6" s="584">
        <f>'AP H - CostTest'!$D$18</f>
        <v>0.54968235386226594</v>
      </c>
      <c r="N6" s="584">
        <v>0.68194573915091194</v>
      </c>
    </row>
    <row r="7" spans="1:20" x14ac:dyDescent="0.35">
      <c r="B7" s="562" t="s">
        <v>139</v>
      </c>
      <c r="C7" s="562">
        <v>3.1</v>
      </c>
      <c r="D7" s="562">
        <v>5.5</v>
      </c>
      <c r="E7" s="562">
        <v>2.7</v>
      </c>
      <c r="F7" s="562">
        <v>1.1000000000000001</v>
      </c>
      <c r="G7" s="562">
        <v>2.4</v>
      </c>
      <c r="H7" s="562">
        <v>5.2</v>
      </c>
      <c r="I7" s="583">
        <v>3.3430276024051202</v>
      </c>
      <c r="J7" s="583">
        <v>15.222879798160401</v>
      </c>
      <c r="K7" s="583">
        <v>1.2662724440875499</v>
      </c>
      <c r="L7" s="584">
        <v>0.243935831733085</v>
      </c>
      <c r="M7" s="584">
        <v>1.1701352149386199</v>
      </c>
      <c r="N7" s="584">
        <v>1.37611348019465</v>
      </c>
    </row>
    <row r="8" spans="1:20" x14ac:dyDescent="0.35">
      <c r="B8" s="562" t="s">
        <v>42</v>
      </c>
      <c r="C8" s="562">
        <v>2.6</v>
      </c>
      <c r="D8" s="562">
        <v>4.7</v>
      </c>
      <c r="E8" s="562">
        <v>1.7</v>
      </c>
      <c r="F8" s="562">
        <v>1</v>
      </c>
      <c r="G8" s="562">
        <v>1.9</v>
      </c>
      <c r="H8" s="562">
        <v>4.8</v>
      </c>
      <c r="I8" s="583">
        <f>'AP H - CostTest'!$I$49</f>
        <v>0</v>
      </c>
      <c r="J8" s="583">
        <f>'AP H - CostTest'!$I$23</f>
        <v>0</v>
      </c>
      <c r="K8" s="583">
        <f>'AP H - CostTest'!$I$26</f>
        <v>0</v>
      </c>
      <c r="L8" s="584">
        <f>'AP H - CostTest'!$I$31</f>
        <v>0</v>
      </c>
      <c r="M8" s="584">
        <f>'AP H - CostTest'!$I$18</f>
        <v>0</v>
      </c>
      <c r="N8" s="584">
        <v>0</v>
      </c>
    </row>
    <row r="9" spans="1:20" x14ac:dyDescent="0.35">
      <c r="B9" s="562" t="s">
        <v>33</v>
      </c>
      <c r="C9" s="562">
        <v>4.5999999999999996</v>
      </c>
      <c r="D9" s="562">
        <v>10.199999999999999</v>
      </c>
      <c r="E9" s="562">
        <v>3.7</v>
      </c>
      <c r="F9" s="562">
        <v>1.2</v>
      </c>
      <c r="G9" s="562">
        <v>3.5</v>
      </c>
      <c r="H9" s="562">
        <v>7.5</v>
      </c>
      <c r="I9" s="583">
        <f>'AP H - CostTest'!$H$49</f>
        <v>4.3776908628690645</v>
      </c>
      <c r="J9" s="583">
        <f>'AP H - CostTest'!$H$23</f>
        <v>14.39901343597217</v>
      </c>
      <c r="K9" s="583">
        <f>'AP H - CostTest'!$H$26</f>
        <v>1.7053001645518653</v>
      </c>
      <c r="L9" s="584">
        <f>'AP H - CostTest'!$H$31</f>
        <v>0.25205303136027352</v>
      </c>
      <c r="M9" s="584">
        <f>'AP H - CostTest'!$H$18</f>
        <v>1.5003459427272223</v>
      </c>
      <c r="N9" s="584">
        <v>1.77582977007264</v>
      </c>
    </row>
    <row r="10" spans="1:20" x14ac:dyDescent="0.35">
      <c r="B10" s="562" t="s">
        <v>44</v>
      </c>
      <c r="C10" s="587">
        <v>7.3907289515709147</v>
      </c>
      <c r="D10" s="587">
        <v>7.7471539987534408</v>
      </c>
      <c r="E10" s="587">
        <v>10.376766467040156</v>
      </c>
      <c r="F10" s="587">
        <v>2.7950720036997025</v>
      </c>
      <c r="G10" s="588">
        <v>5.6959702145611315</v>
      </c>
      <c r="H10" s="589">
        <v>16.28771657135146</v>
      </c>
      <c r="I10" s="583">
        <f>'AP H - CostTest'!$J$49</f>
        <v>1.7034251452499201</v>
      </c>
      <c r="J10" s="583">
        <f>'AP H - CostTest'!$J$23</f>
        <v>3.8039183004042512</v>
      </c>
      <c r="K10" s="583">
        <f>'AP H - CostTest'!$J$26</f>
        <v>0.97049100876765504</v>
      </c>
      <c r="L10" s="584">
        <f>'AP H - CostTest'!$J$31</f>
        <v>0.29359204868874139</v>
      </c>
      <c r="M10" s="584">
        <f>'AP H - CostTest'!$J$18</f>
        <v>0.71730840772682014</v>
      </c>
      <c r="N10" s="584">
        <v>0.88990561343178998</v>
      </c>
    </row>
    <row r="11" spans="1:20" x14ac:dyDescent="0.35">
      <c r="B11" s="562" t="s">
        <v>34</v>
      </c>
      <c r="C11" s="587">
        <v>1.6166741131827793</v>
      </c>
      <c r="D11" s="591">
        <v>2.7428497342627178</v>
      </c>
      <c r="E11" s="591">
        <v>1.2834301585087025</v>
      </c>
      <c r="F11" s="591">
        <v>0.76940907816116932</v>
      </c>
      <c r="G11" s="590">
        <v>1.1606292552553075</v>
      </c>
      <c r="H11" s="591">
        <v>2.7258823624604727</v>
      </c>
      <c r="I11" s="583">
        <f>'AP H - CostTest'!$K$49</f>
        <v>7.0457139718472062E-2</v>
      </c>
      <c r="J11" s="583">
        <f>'AP H - CostTest'!$K$23</f>
        <v>1.8579073834007962</v>
      </c>
      <c r="K11" s="583">
        <f>'AP H - CostTest'!$K$26</f>
        <v>2.1101947977855567E-2</v>
      </c>
      <c r="L11" s="584">
        <f>'AP H - CostTest'!$K$31</f>
        <v>1.9552866217914074E-2</v>
      </c>
      <c r="M11" s="584">
        <f>'AP H - CostTest'!$K$18</f>
        <v>2.056410875960166E-2</v>
      </c>
      <c r="N11" s="584">
        <v>2.6577087435215099E-2</v>
      </c>
    </row>
    <row r="12" spans="1:20" x14ac:dyDescent="0.35">
      <c r="B12" s="562" t="s">
        <v>50</v>
      </c>
      <c r="C12" s="562">
        <v>2.9</v>
      </c>
      <c r="D12" s="562">
        <v>4.8</v>
      </c>
      <c r="E12" s="562">
        <v>2.6</v>
      </c>
      <c r="F12" s="562">
        <v>1.1000000000000001</v>
      </c>
      <c r="G12" s="562">
        <v>2.6</v>
      </c>
      <c r="H12" s="562">
        <v>3.9</v>
      </c>
      <c r="I12" s="583">
        <f>'AP H - CostTest'!L49</f>
        <v>6.2004282268377535</v>
      </c>
      <c r="J12" s="583">
        <f>'AP H - CostTest'!$L$23</f>
        <v>25.420585637889175</v>
      </c>
      <c r="K12" s="583">
        <f>'AP H - CostTest'!L26</f>
        <v>2.3197754126461825</v>
      </c>
      <c r="L12" s="584">
        <f>'AP H - CostTest'!L31</f>
        <v>0.28335988295878328</v>
      </c>
      <c r="M12" s="584">
        <f>'AP H - CostTest'!L18</f>
        <v>2.3197754126461825</v>
      </c>
      <c r="N12" s="584">
        <v>2.6729582114031101</v>
      </c>
    </row>
    <row r="13" spans="1:20" x14ac:dyDescent="0.35">
      <c r="B13" s="562" t="s">
        <v>110</v>
      </c>
      <c r="C13" s="562">
        <v>4.2</v>
      </c>
      <c r="D13" s="562">
        <v>6</v>
      </c>
      <c r="E13" s="562">
        <v>3.1</v>
      </c>
      <c r="F13" s="562">
        <v>1.2</v>
      </c>
      <c r="G13" s="562">
        <v>3.1</v>
      </c>
      <c r="H13" s="562">
        <v>6.9</v>
      </c>
      <c r="I13" s="583">
        <v>0</v>
      </c>
      <c r="J13" s="583">
        <v>0</v>
      </c>
      <c r="K13" s="583">
        <v>0</v>
      </c>
      <c r="L13" s="584">
        <v>0</v>
      </c>
      <c r="M13" s="584">
        <v>0</v>
      </c>
      <c r="N13" s="584">
        <v>0</v>
      </c>
    </row>
  </sheetData>
  <mergeCells count="3">
    <mergeCell ref="C3:H3"/>
    <mergeCell ref="B2:N2"/>
    <mergeCell ref="I3:N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81640625" defaultRowHeight="14.5" x14ac:dyDescent="0.35"/>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AD27"/>
  <sheetViews>
    <sheetView zoomScale="90" zoomScaleNormal="90" workbookViewId="0">
      <selection activeCell="J9" sqref="J9"/>
    </sheetView>
  </sheetViews>
  <sheetFormatPr defaultColWidth="9.453125" defaultRowHeight="14.5" x14ac:dyDescent="0.35"/>
  <cols>
    <col min="1" max="1" width="4.453125" customWidth="1"/>
    <col min="2" max="2" width="22.26953125" customWidth="1"/>
    <col min="3" max="3" width="35" customWidth="1"/>
    <col min="4" max="8" width="13.453125" customWidth="1"/>
    <col min="9" max="9" width="14.453125" customWidth="1"/>
    <col min="10" max="10" width="16.453125" customWidth="1"/>
    <col min="11" max="11" width="16.453125" style="5" customWidth="1"/>
    <col min="12" max="13" width="16.453125" customWidth="1"/>
    <col min="14" max="15" width="15.453125" style="2" customWidth="1"/>
    <col min="16" max="16" width="13.453125" customWidth="1"/>
    <col min="20" max="20" width="9.453125" customWidth="1"/>
  </cols>
  <sheetData>
    <row r="1" spans="1:15" ht="22.5" x14ac:dyDescent="0.45">
      <c r="A1" s="651" t="s">
        <v>0</v>
      </c>
      <c r="K1" s="146"/>
      <c r="N1" s="145"/>
      <c r="O1" s="145"/>
    </row>
    <row r="2" spans="1:15" x14ac:dyDescent="0.35">
      <c r="K2" s="146"/>
      <c r="N2" s="145"/>
      <c r="O2" s="145"/>
    </row>
    <row r="3" spans="1:15" ht="19" thickBot="1" x14ac:dyDescent="0.5">
      <c r="A3" s="6"/>
      <c r="B3" s="6" t="str">
        <f>'Qtr Electric Master'!B3</f>
        <v>For Period Ending PY23 Q1</v>
      </c>
      <c r="C3" s="6"/>
      <c r="D3" s="6"/>
      <c r="E3" s="6"/>
      <c r="F3" s="6"/>
      <c r="G3" s="6"/>
      <c r="H3" s="6"/>
      <c r="K3" s="156"/>
      <c r="N3" s="145"/>
      <c r="O3" s="145"/>
    </row>
    <row r="4" spans="1:15" ht="43.5" customHeight="1" thickBot="1" x14ac:dyDescent="0.4">
      <c r="A4" t="s">
        <v>2</v>
      </c>
      <c r="B4" s="528"/>
      <c r="C4" s="528"/>
      <c r="D4" s="966" t="s">
        <v>7</v>
      </c>
      <c r="E4" s="966"/>
      <c r="F4" s="967" t="s">
        <v>165</v>
      </c>
      <c r="G4" s="968"/>
      <c r="H4" s="969" t="s">
        <v>57</v>
      </c>
      <c r="I4" s="970"/>
      <c r="K4" s="146"/>
      <c r="M4" s="153" t="s">
        <v>7</v>
      </c>
      <c r="N4" s="153"/>
      <c r="O4" s="153"/>
    </row>
    <row r="5" spans="1:15" ht="21" customHeight="1" thickBot="1" x14ac:dyDescent="0.4">
      <c r="B5" s="529"/>
      <c r="C5" s="529"/>
      <c r="D5" s="376" t="s">
        <v>10</v>
      </c>
      <c r="E5" s="373" t="s">
        <v>11</v>
      </c>
      <c r="F5" s="374" t="s">
        <v>12</v>
      </c>
      <c r="G5" s="375" t="s">
        <v>13</v>
      </c>
      <c r="H5" s="806" t="s">
        <v>14</v>
      </c>
      <c r="I5" s="807" t="s">
        <v>15</v>
      </c>
      <c r="K5" s="146"/>
      <c r="N5" s="145"/>
      <c r="O5" s="145"/>
    </row>
    <row r="6" spans="1:15" ht="52.5" customHeight="1" thickBot="1" x14ac:dyDescent="0.4">
      <c r="B6" s="530"/>
      <c r="C6" s="530"/>
      <c r="D6" s="971" t="s">
        <v>73</v>
      </c>
      <c r="E6" s="972"/>
      <c r="F6" s="973" t="s">
        <v>166</v>
      </c>
      <c r="G6" s="974"/>
      <c r="H6" s="975" t="s">
        <v>167</v>
      </c>
      <c r="I6" s="976"/>
      <c r="N6" s="145"/>
      <c r="O6" s="145"/>
    </row>
    <row r="7" spans="1:15" ht="26.5" thickBot="1" x14ac:dyDescent="0.4">
      <c r="B7" s="531" t="s">
        <v>31</v>
      </c>
      <c r="C7" s="532" t="s">
        <v>32</v>
      </c>
      <c r="D7" s="533" t="s">
        <v>107</v>
      </c>
      <c r="E7" s="534" t="s">
        <v>168</v>
      </c>
      <c r="F7" s="533" t="s">
        <v>107</v>
      </c>
      <c r="G7" s="534" t="s">
        <v>168</v>
      </c>
      <c r="H7" s="804" t="s">
        <v>107</v>
      </c>
      <c r="I7" s="805" t="s">
        <v>168</v>
      </c>
      <c r="J7" s="148"/>
      <c r="L7" s="148"/>
      <c r="M7" s="148"/>
      <c r="N7" s="148"/>
      <c r="O7" s="148"/>
    </row>
    <row r="8" spans="1:15" x14ac:dyDescent="0.35">
      <c r="B8" s="962" t="s">
        <v>33</v>
      </c>
      <c r="C8" s="377" t="s">
        <v>100</v>
      </c>
      <c r="D8" s="775">
        <v>5</v>
      </c>
      <c r="E8" s="776">
        <v>397</v>
      </c>
      <c r="F8" s="781">
        <f>2800/1000</f>
        <v>2.8</v>
      </c>
      <c r="G8" s="782">
        <f>120899.21/1000</f>
        <v>120.89921000000001</v>
      </c>
      <c r="H8" s="808">
        <v>1.302</v>
      </c>
      <c r="I8" s="809">
        <v>203.17099999999999</v>
      </c>
      <c r="J8" s="145"/>
      <c r="K8" s="150"/>
      <c r="L8" s="145"/>
      <c r="M8" s="145"/>
      <c r="N8" s="145"/>
      <c r="O8" s="145"/>
    </row>
    <row r="9" spans="1:15" x14ac:dyDescent="0.35">
      <c r="B9" s="963"/>
      <c r="C9" s="378" t="s">
        <v>108</v>
      </c>
      <c r="D9" s="777">
        <v>6892</v>
      </c>
      <c r="E9" s="778">
        <v>0</v>
      </c>
      <c r="F9" s="783">
        <f>190977.32/1000</f>
        <v>190.97732000000002</v>
      </c>
      <c r="G9" s="784">
        <v>0</v>
      </c>
      <c r="H9" s="787">
        <v>1863.9359999999999</v>
      </c>
      <c r="I9" s="788">
        <v>0</v>
      </c>
      <c r="J9" s="516"/>
      <c r="K9" s="498"/>
      <c r="L9" s="145"/>
      <c r="M9" s="145"/>
      <c r="N9" s="145"/>
      <c r="O9" s="145"/>
    </row>
    <row r="10" spans="1:15" ht="15" thickBot="1" x14ac:dyDescent="0.4">
      <c r="B10" s="963"/>
      <c r="C10" s="379" t="s">
        <v>169</v>
      </c>
      <c r="D10" s="777">
        <v>0</v>
      </c>
      <c r="E10" s="778">
        <v>44667</v>
      </c>
      <c r="F10" s="783">
        <v>0</v>
      </c>
      <c r="G10" s="784">
        <f>278094.14/1000</f>
        <v>278.09414000000004</v>
      </c>
      <c r="H10" s="778">
        <v>0</v>
      </c>
      <c r="I10" s="789">
        <v>7102.7809999999999</v>
      </c>
      <c r="J10" s="145"/>
      <c r="K10" s="150"/>
      <c r="L10" s="145"/>
      <c r="M10" s="145"/>
      <c r="N10" s="145"/>
      <c r="O10" s="145"/>
    </row>
    <row r="11" spans="1:15" ht="14.9" customHeight="1" x14ac:dyDescent="0.35">
      <c r="B11" s="962" t="s">
        <v>34</v>
      </c>
      <c r="C11" s="377" t="s">
        <v>170</v>
      </c>
      <c r="D11" s="775"/>
      <c r="E11" s="776">
        <v>15</v>
      </c>
      <c r="F11" s="781">
        <v>0</v>
      </c>
      <c r="G11" s="782">
        <f>58630/1000</f>
        <v>58.63</v>
      </c>
      <c r="H11" s="785">
        <v>3.41</v>
      </c>
      <c r="I11" s="786">
        <v>18.399999999999999</v>
      </c>
      <c r="J11" s="154"/>
      <c r="K11" s="370"/>
      <c r="L11" s="145"/>
      <c r="M11" s="145"/>
      <c r="N11" s="145"/>
      <c r="O11" s="367"/>
    </row>
    <row r="12" spans="1:15" ht="14.9" customHeight="1" x14ac:dyDescent="0.35">
      <c r="B12" s="963"/>
      <c r="C12" s="380" t="s">
        <v>164</v>
      </c>
      <c r="D12" s="777">
        <v>0</v>
      </c>
      <c r="E12" s="778">
        <v>0</v>
      </c>
      <c r="F12" s="783">
        <v>0</v>
      </c>
      <c r="G12" s="784">
        <v>0</v>
      </c>
      <c r="H12" s="790">
        <v>652.07899999999995</v>
      </c>
      <c r="I12" s="788">
        <v>815.79899999999998</v>
      </c>
      <c r="J12" s="154"/>
      <c r="K12" s="371"/>
      <c r="L12" s="148"/>
      <c r="M12" s="148"/>
      <c r="N12" s="148"/>
      <c r="O12" s="148"/>
    </row>
    <row r="13" spans="1:15" ht="14.9" customHeight="1" thickBot="1" x14ac:dyDescent="0.4">
      <c r="B13" s="963"/>
      <c r="C13" s="381" t="s">
        <v>37</v>
      </c>
      <c r="D13" s="779">
        <v>0</v>
      </c>
      <c r="E13" s="780" t="s">
        <v>171</v>
      </c>
      <c r="F13" s="802">
        <v>0</v>
      </c>
      <c r="G13" s="803" t="s">
        <v>101</v>
      </c>
      <c r="H13" s="778">
        <v>0</v>
      </c>
      <c r="I13" s="791" t="s">
        <v>101</v>
      </c>
      <c r="J13" s="154"/>
      <c r="K13" s="369"/>
      <c r="L13" s="151"/>
      <c r="M13" s="151"/>
      <c r="N13" s="151"/>
      <c r="O13" s="151"/>
    </row>
    <row r="14" spans="1:15" ht="26.5" thickBot="1" x14ac:dyDescent="0.4">
      <c r="B14" s="382" t="s">
        <v>38</v>
      </c>
      <c r="C14" s="382" t="s">
        <v>39</v>
      </c>
      <c r="D14" s="383" t="s">
        <v>163</v>
      </c>
      <c r="E14" s="557" t="s">
        <v>163</v>
      </c>
      <c r="F14" s="557" t="s">
        <v>163</v>
      </c>
      <c r="G14" s="557" t="s">
        <v>163</v>
      </c>
      <c r="H14" s="811" t="s">
        <v>163</v>
      </c>
      <c r="I14" s="810" t="s">
        <v>163</v>
      </c>
      <c r="J14" s="145"/>
      <c r="K14" s="369"/>
      <c r="L14" s="151"/>
      <c r="M14" s="151"/>
      <c r="N14" s="151"/>
      <c r="O14" s="151"/>
    </row>
    <row r="15" spans="1:15" ht="15" thickBot="1" x14ac:dyDescent="0.4">
      <c r="B15" s="535" t="s">
        <v>40</v>
      </c>
      <c r="C15" s="535"/>
      <c r="D15" s="536">
        <f t="shared" ref="D15:I15" si="0">SUM(D8:D14)</f>
        <v>6897</v>
      </c>
      <c r="E15" s="536">
        <f t="shared" si="0"/>
        <v>45079</v>
      </c>
      <c r="F15" s="537">
        <f t="shared" si="0"/>
        <v>193.77732000000003</v>
      </c>
      <c r="G15" s="538">
        <f t="shared" si="0"/>
        <v>457.62335000000007</v>
      </c>
      <c r="H15" s="539">
        <f t="shared" si="0"/>
        <v>2520.7269999999999</v>
      </c>
      <c r="I15" s="812">
        <f t="shared" si="0"/>
        <v>8140.1509999999998</v>
      </c>
      <c r="J15" s="148"/>
      <c r="K15" s="499"/>
      <c r="N15" s="500"/>
      <c r="O15" s="500"/>
    </row>
    <row r="16" spans="1:15" ht="15" thickBot="1" x14ac:dyDescent="0.4">
      <c r="B16" s="384"/>
      <c r="C16" s="384"/>
      <c r="D16" s="385"/>
      <c r="E16" s="386"/>
      <c r="F16" s="387"/>
      <c r="G16" s="388"/>
      <c r="H16" s="403"/>
      <c r="I16" s="404"/>
      <c r="J16" s="151"/>
      <c r="K16" s="499"/>
      <c r="N16" s="500"/>
      <c r="O16" s="500"/>
    </row>
    <row r="17" spans="2:30" x14ac:dyDescent="0.35">
      <c r="B17" s="964" t="s">
        <v>110</v>
      </c>
      <c r="C17" s="389" t="s">
        <v>128</v>
      </c>
      <c r="D17" s="399"/>
      <c r="E17" s="792"/>
      <c r="F17" s="793">
        <v>0</v>
      </c>
      <c r="G17" s="794">
        <v>0</v>
      </c>
      <c r="H17" s="405"/>
      <c r="I17" s="795"/>
      <c r="J17" s="151"/>
      <c r="K17" s="369"/>
      <c r="N17" s="500"/>
      <c r="O17" s="500"/>
    </row>
    <row r="18" spans="2:30" ht="15" thickBot="1" x14ac:dyDescent="0.4">
      <c r="B18" s="965"/>
      <c r="C18" s="390" t="s">
        <v>172</v>
      </c>
      <c r="D18" s="796"/>
      <c r="E18" s="797"/>
      <c r="F18" s="798">
        <v>0</v>
      </c>
      <c r="G18" s="799">
        <v>0</v>
      </c>
      <c r="H18" s="800"/>
      <c r="I18" s="801"/>
      <c r="J18" s="151"/>
      <c r="K18" s="501"/>
      <c r="L18" s="151"/>
      <c r="M18" s="151"/>
      <c r="N18" s="151"/>
      <c r="O18" s="151"/>
    </row>
    <row r="19" spans="2:30" ht="15" thickBot="1" x14ac:dyDescent="0.4">
      <c r="B19" s="541" t="s">
        <v>173</v>
      </c>
      <c r="C19" s="535"/>
      <c r="D19" s="542">
        <f>SUM(D17:D18)</f>
        <v>0</v>
      </c>
      <c r="E19" s="543">
        <f t="shared" ref="E19:I19" si="1">SUM(E17:E18)</f>
        <v>0</v>
      </c>
      <c r="F19" s="544">
        <f t="shared" si="1"/>
        <v>0</v>
      </c>
      <c r="G19" s="545">
        <f t="shared" si="1"/>
        <v>0</v>
      </c>
      <c r="H19" s="546">
        <f t="shared" si="1"/>
        <v>0</v>
      </c>
      <c r="I19" s="547">
        <f t="shared" si="1"/>
        <v>0</v>
      </c>
      <c r="J19" s="148"/>
      <c r="K19" s="371"/>
      <c r="L19" s="148"/>
      <c r="M19" s="148"/>
      <c r="N19" s="148"/>
      <c r="O19" s="148"/>
    </row>
    <row r="20" spans="2:30" ht="15" thickBot="1" x14ac:dyDescent="0.4">
      <c r="B20" s="391"/>
      <c r="C20" s="392"/>
      <c r="D20" s="393"/>
      <c r="E20" s="394"/>
      <c r="F20" s="395"/>
      <c r="G20" s="396"/>
      <c r="H20" s="406"/>
      <c r="I20" s="407"/>
      <c r="J20" s="147"/>
      <c r="K20" s="146"/>
      <c r="L20" s="147"/>
      <c r="M20" s="147"/>
      <c r="N20" s="145"/>
      <c r="O20" s="145"/>
    </row>
    <row r="21" spans="2:30" ht="15" thickBot="1" x14ac:dyDescent="0.4">
      <c r="B21" s="548" t="s">
        <v>50</v>
      </c>
      <c r="C21" s="535"/>
      <c r="D21" s="549"/>
      <c r="E21" s="550"/>
      <c r="F21" s="537"/>
      <c r="G21" s="538"/>
      <c r="H21" s="551"/>
      <c r="I21" s="540"/>
      <c r="J21" s="152"/>
      <c r="K21" s="149"/>
      <c r="L21" s="152"/>
      <c r="M21" s="152"/>
      <c r="N21" s="148"/>
      <c r="O21" s="148"/>
    </row>
    <row r="22" spans="2:30" x14ac:dyDescent="0.35">
      <c r="B22" s="397" t="s">
        <v>174</v>
      </c>
      <c r="C22" s="398"/>
      <c r="D22" s="399" t="s">
        <v>101</v>
      </c>
      <c r="E22" s="400" t="s">
        <v>101</v>
      </c>
      <c r="F22" s="401" t="s">
        <v>101</v>
      </c>
      <c r="G22" s="402" t="s">
        <v>101</v>
      </c>
      <c r="H22" s="405" t="s">
        <v>101</v>
      </c>
      <c r="I22" s="408" t="s">
        <v>101</v>
      </c>
      <c r="J22" s="151"/>
      <c r="K22" s="151"/>
      <c r="L22" s="151"/>
      <c r="M22" s="151"/>
      <c r="N22" s="151"/>
      <c r="O22" s="151"/>
    </row>
    <row r="23" spans="2:30" ht="15" thickBot="1" x14ac:dyDescent="0.4">
      <c r="B23" s="552" t="s">
        <v>52</v>
      </c>
      <c r="C23" s="553"/>
      <c r="D23" s="542">
        <f>SUM(D22)</f>
        <v>0</v>
      </c>
      <c r="E23" s="543">
        <f t="shared" ref="E23:I23" si="2">SUM(E22)</f>
        <v>0</v>
      </c>
      <c r="F23" s="544">
        <f t="shared" si="2"/>
        <v>0</v>
      </c>
      <c r="G23" s="545">
        <f t="shared" si="2"/>
        <v>0</v>
      </c>
      <c r="H23" s="546">
        <f t="shared" si="2"/>
        <v>0</v>
      </c>
      <c r="I23" s="547">
        <f t="shared" si="2"/>
        <v>0</v>
      </c>
      <c r="J23" s="148"/>
      <c r="K23" s="149"/>
      <c r="L23" s="148"/>
      <c r="M23" s="148"/>
      <c r="N23" s="148"/>
      <c r="O23" s="148"/>
    </row>
    <row r="24" spans="2:30" ht="15" thickBot="1" x14ac:dyDescent="0.4">
      <c r="B24" s="391"/>
      <c r="C24" s="392"/>
      <c r="D24" s="393"/>
      <c r="E24" s="394"/>
      <c r="F24" s="395"/>
      <c r="G24" s="396"/>
      <c r="H24" s="406"/>
      <c r="I24" s="407"/>
      <c r="J24" s="148"/>
      <c r="K24" s="149"/>
      <c r="L24" s="148"/>
      <c r="M24" s="148"/>
      <c r="N24" s="148"/>
      <c r="O24" s="148"/>
    </row>
    <row r="25" spans="2:30" ht="15" thickBot="1" x14ac:dyDescent="0.4">
      <c r="B25" s="552" t="s">
        <v>53</v>
      </c>
      <c r="C25" s="553"/>
      <c r="D25" s="536">
        <f t="shared" ref="D25:I25" si="3">SUM(D23,D19,D15)</f>
        <v>6897</v>
      </c>
      <c r="E25" s="536">
        <f t="shared" si="3"/>
        <v>45079</v>
      </c>
      <c r="F25" s="544">
        <f t="shared" si="3"/>
        <v>193.77732000000003</v>
      </c>
      <c r="G25" s="545">
        <f t="shared" si="3"/>
        <v>457.62335000000007</v>
      </c>
      <c r="H25" s="546">
        <f t="shared" si="3"/>
        <v>2520.7269999999999</v>
      </c>
      <c r="I25" s="547">
        <f t="shared" si="3"/>
        <v>8140.1509999999998</v>
      </c>
      <c r="J25" s="93"/>
      <c r="K25" s="95"/>
      <c r="L25" s="93"/>
      <c r="M25" s="93"/>
      <c r="N25" s="96"/>
      <c r="O25" s="96"/>
      <c r="P25" s="93"/>
      <c r="Q25" s="93"/>
      <c r="R25" s="93"/>
      <c r="S25" s="93"/>
      <c r="T25" s="93"/>
      <c r="U25" s="93"/>
      <c r="V25" s="93"/>
      <c r="W25" s="93"/>
      <c r="X25" s="93"/>
      <c r="Y25" s="93"/>
      <c r="Z25" s="93"/>
      <c r="AA25" s="93"/>
      <c r="AB25" s="93"/>
      <c r="AC25" s="93"/>
      <c r="AD25" s="93"/>
    </row>
    <row r="26" spans="2:30" ht="15" thickBot="1" x14ac:dyDescent="0.4">
      <c r="B26" s="826" t="s">
        <v>54</v>
      </c>
      <c r="C26" s="827"/>
      <c r="D26" s="828"/>
      <c r="E26" s="829"/>
      <c r="F26" s="830">
        <v>0</v>
      </c>
      <c r="G26" s="831">
        <v>0</v>
      </c>
      <c r="H26" s="832"/>
      <c r="I26" s="833"/>
    </row>
    <row r="27" spans="2:30" ht="16.5" x14ac:dyDescent="0.35">
      <c r="B27" s="834" t="s">
        <v>175</v>
      </c>
      <c r="C27" s="835"/>
      <c r="D27" s="835"/>
      <c r="E27" s="835"/>
      <c r="F27" s="835"/>
      <c r="G27" s="835"/>
      <c r="H27" s="835"/>
      <c r="I27" s="835"/>
    </row>
  </sheetData>
  <mergeCells count="9">
    <mergeCell ref="B11:B13"/>
    <mergeCell ref="B17:B18"/>
    <mergeCell ref="D4:E4"/>
    <mergeCell ref="F4:G4"/>
    <mergeCell ref="H4:I4"/>
    <mergeCell ref="D6:E6"/>
    <mergeCell ref="F6:G6"/>
    <mergeCell ref="H6:I6"/>
    <mergeCell ref="B8:B10"/>
  </mergeCells>
  <pageMargins left="0.25" right="0.25" top="0.75" bottom="0.75" header="0.3" footer="0.3"/>
  <pageSetup scale="10" fitToHeight="0" orientation="landscape" r:id="rId1"/>
  <headerFooter>
    <oddHeader>&amp;CACE Q1 of Program Year 2022 LMI Reporting Table</oddHeader>
    <oddFooter>&amp;C&amp;N&amp;R&amp;D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AD26"/>
  <sheetViews>
    <sheetView workbookViewId="0">
      <selection activeCell="C3" sqref="C3"/>
    </sheetView>
  </sheetViews>
  <sheetFormatPr defaultColWidth="9.453125" defaultRowHeight="14.5" x14ac:dyDescent="0.35"/>
  <cols>
    <col min="1" max="1" width="4.453125" customWidth="1"/>
    <col min="2" max="2" width="22.26953125" customWidth="1"/>
    <col min="3" max="3" width="35" customWidth="1"/>
    <col min="4" max="8" width="13.453125" customWidth="1"/>
    <col min="9" max="9" width="14.453125" customWidth="1"/>
    <col min="10" max="10" width="16.453125" customWidth="1"/>
    <col min="11" max="11" width="16.453125" style="5" customWidth="1"/>
    <col min="12" max="13" width="16.453125" customWidth="1"/>
    <col min="14" max="15" width="16.453125" style="2" customWidth="1"/>
    <col min="16" max="17" width="16.453125" customWidth="1"/>
    <col min="20" max="20" width="9.453125" customWidth="1"/>
    <col min="22" max="22" width="48.26953125" bestFit="1" customWidth="1"/>
    <col min="23" max="25" width="9.453125" hidden="1" customWidth="1"/>
  </cols>
  <sheetData>
    <row r="1" spans="1:30" ht="15.5" x14ac:dyDescent="0.35">
      <c r="A1" s="652" t="s">
        <v>0</v>
      </c>
      <c r="K1" s="146"/>
      <c r="N1" s="145"/>
      <c r="O1" s="145"/>
    </row>
    <row r="2" spans="1:30" x14ac:dyDescent="0.35">
      <c r="K2" s="146"/>
      <c r="N2" s="145"/>
      <c r="O2" s="145"/>
    </row>
    <row r="3" spans="1:30" ht="19" thickBot="1" x14ac:dyDescent="0.5">
      <c r="A3" s="6"/>
      <c r="B3" s="6" t="str">
        <f>'Qtr Electric Master'!B3</f>
        <v>For Period Ending PY23 Q1</v>
      </c>
      <c r="C3" s="6"/>
      <c r="D3" s="6"/>
      <c r="E3" s="6"/>
      <c r="F3" s="6"/>
      <c r="G3" s="6"/>
      <c r="H3" s="6"/>
      <c r="K3" s="156"/>
      <c r="N3" s="145"/>
      <c r="O3" s="145"/>
    </row>
    <row r="4" spans="1:30" ht="43.5" customHeight="1" thickBot="1" x14ac:dyDescent="0.4">
      <c r="A4" t="s">
        <v>2</v>
      </c>
      <c r="B4" s="930"/>
      <c r="C4" s="427"/>
      <c r="D4" s="979" t="s">
        <v>7</v>
      </c>
      <c r="E4" s="980"/>
      <c r="F4" s="981" t="s">
        <v>165</v>
      </c>
      <c r="G4" s="982"/>
      <c r="H4" s="983" t="s">
        <v>57</v>
      </c>
      <c r="I4" s="984"/>
      <c r="J4" s="993"/>
      <c r="K4" s="994"/>
      <c r="L4" s="994"/>
      <c r="M4" s="994"/>
      <c r="N4" s="994"/>
      <c r="O4" s="994"/>
    </row>
    <row r="5" spans="1:30" ht="21" customHeight="1" thickBot="1" x14ac:dyDescent="0.4">
      <c r="B5" s="428"/>
      <c r="C5" s="429"/>
      <c r="D5" s="430" t="s">
        <v>10</v>
      </c>
      <c r="E5" s="431" t="s">
        <v>11</v>
      </c>
      <c r="F5" s="432" t="s">
        <v>12</v>
      </c>
      <c r="G5" s="433" t="s">
        <v>13</v>
      </c>
      <c r="H5" s="434" t="s">
        <v>14</v>
      </c>
      <c r="I5" s="495" t="s">
        <v>15</v>
      </c>
      <c r="J5" s="434" t="s">
        <v>60</v>
      </c>
      <c r="K5" s="496" t="s">
        <v>176</v>
      </c>
      <c r="L5" s="496" t="s">
        <v>17</v>
      </c>
      <c r="M5" s="431" t="s">
        <v>62</v>
      </c>
      <c r="N5" s="496" t="s">
        <v>17</v>
      </c>
      <c r="O5" s="431" t="s">
        <v>62</v>
      </c>
    </row>
    <row r="6" spans="1:30" ht="52.5" customHeight="1" thickBot="1" x14ac:dyDescent="0.4">
      <c r="B6" s="435"/>
      <c r="C6" s="436"/>
      <c r="D6" s="985" t="s">
        <v>73</v>
      </c>
      <c r="E6" s="986"/>
      <c r="F6" s="987" t="s">
        <v>166</v>
      </c>
      <c r="G6" s="988"/>
      <c r="H6" s="989" t="s">
        <v>81</v>
      </c>
      <c r="I6" s="990"/>
      <c r="J6" s="991" t="s">
        <v>177</v>
      </c>
      <c r="K6" s="992"/>
      <c r="L6" s="991" t="s">
        <v>86</v>
      </c>
      <c r="M6" s="992"/>
      <c r="N6" s="991" t="s">
        <v>178</v>
      </c>
      <c r="O6" s="992"/>
      <c r="T6" s="518" t="s">
        <v>90</v>
      </c>
      <c r="U6" s="518" t="s">
        <v>91</v>
      </c>
      <c r="V6" s="518" t="s">
        <v>92</v>
      </c>
      <c r="W6" s="519" t="s">
        <v>93</v>
      </c>
      <c r="X6" s="519" t="s">
        <v>94</v>
      </c>
      <c r="Y6" s="519" t="s">
        <v>95</v>
      </c>
      <c r="Z6" s="519" t="s">
        <v>93</v>
      </c>
      <c r="AA6" s="519" t="s">
        <v>94</v>
      </c>
      <c r="AB6" s="519" t="s">
        <v>95</v>
      </c>
    </row>
    <row r="7" spans="1:30" ht="28.5" thickBot="1" x14ac:dyDescent="0.4">
      <c r="B7" s="437" t="s">
        <v>41</v>
      </c>
      <c r="C7" s="438" t="s">
        <v>124</v>
      </c>
      <c r="D7" s="439" t="s">
        <v>179</v>
      </c>
      <c r="E7" s="440" t="s">
        <v>180</v>
      </c>
      <c r="F7" s="439" t="s">
        <v>179</v>
      </c>
      <c r="G7" s="440" t="s">
        <v>180</v>
      </c>
      <c r="H7" s="439" t="s">
        <v>179</v>
      </c>
      <c r="I7" s="440" t="s">
        <v>180</v>
      </c>
      <c r="J7" s="439" t="s">
        <v>179</v>
      </c>
      <c r="K7" s="440" t="s">
        <v>180</v>
      </c>
      <c r="L7" s="439" t="s">
        <v>179</v>
      </c>
      <c r="M7" s="440" t="s">
        <v>180</v>
      </c>
      <c r="N7" s="439" t="s">
        <v>179</v>
      </c>
      <c r="O7" s="440" t="s">
        <v>180</v>
      </c>
      <c r="P7" s="339"/>
      <c r="T7" s="520">
        <v>6</v>
      </c>
      <c r="U7" s="520" t="s">
        <v>109</v>
      </c>
      <c r="V7" s="520" t="s">
        <v>110</v>
      </c>
      <c r="W7" s="521">
        <v>0.115</v>
      </c>
      <c r="X7" s="521">
        <v>0.13400000000000001</v>
      </c>
      <c r="Y7" s="521">
        <v>1.4999999999999999E-2</v>
      </c>
      <c r="Z7" s="522">
        <f t="shared" ref="Z7:Z12" si="0">(W7+1)</f>
        <v>1.115</v>
      </c>
      <c r="AA7" s="522">
        <f t="shared" ref="AA7:AB12" si="1">(X7+1)</f>
        <v>1.1339999999999999</v>
      </c>
      <c r="AB7" s="522">
        <f t="shared" si="1"/>
        <v>1.0149999999999999</v>
      </c>
    </row>
    <row r="8" spans="1:30" ht="15" thickBot="1" x14ac:dyDescent="0.4">
      <c r="B8" s="441" t="s">
        <v>42</v>
      </c>
      <c r="C8" s="441" t="s">
        <v>43</v>
      </c>
      <c r="D8" s="644">
        <v>0</v>
      </c>
      <c r="E8" s="426" t="s">
        <v>101</v>
      </c>
      <c r="F8" s="759">
        <v>0</v>
      </c>
      <c r="G8" s="760" t="s">
        <v>101</v>
      </c>
      <c r="H8" s="761">
        <v>0</v>
      </c>
      <c r="I8" s="762" t="s">
        <v>101</v>
      </c>
      <c r="J8" s="644">
        <v>0</v>
      </c>
      <c r="K8" s="426" t="s">
        <v>101</v>
      </c>
      <c r="L8" s="644">
        <v>0</v>
      </c>
      <c r="M8" s="426" t="s">
        <v>101</v>
      </c>
      <c r="N8" s="633">
        <f>L8*$Z$10</f>
        <v>0</v>
      </c>
      <c r="O8" s="632" t="s">
        <v>101</v>
      </c>
      <c r="T8" s="520">
        <v>7</v>
      </c>
      <c r="U8" s="520" t="s">
        <v>112</v>
      </c>
      <c r="V8" s="520" t="s">
        <v>113</v>
      </c>
      <c r="W8" s="521">
        <v>9.0999999999999998E-2</v>
      </c>
      <c r="X8" s="521">
        <v>0.113</v>
      </c>
      <c r="Y8" s="521">
        <v>1.4999999999999999E-2</v>
      </c>
      <c r="Z8" s="522">
        <f t="shared" si="0"/>
        <v>1.091</v>
      </c>
      <c r="AA8" s="522">
        <f t="shared" si="1"/>
        <v>1.113</v>
      </c>
      <c r="AB8" s="522">
        <f t="shared" si="1"/>
        <v>1.0149999999999999</v>
      </c>
    </row>
    <row r="9" spans="1:30" x14ac:dyDescent="0.35">
      <c r="B9" s="995" t="s">
        <v>44</v>
      </c>
      <c r="C9" s="442" t="s">
        <v>45</v>
      </c>
      <c r="D9" s="763">
        <v>57</v>
      </c>
      <c r="E9" s="637">
        <v>14</v>
      </c>
      <c r="F9" s="764">
        <f>169307/1000</f>
        <v>169.30699999999999</v>
      </c>
      <c r="G9" s="765">
        <f>371102.8/1000</f>
        <v>371.1028</v>
      </c>
      <c r="H9" s="766">
        <v>1043.21</v>
      </c>
      <c r="I9" s="767">
        <v>2493.9899999999998</v>
      </c>
      <c r="J9" s="754">
        <v>15596</v>
      </c>
      <c r="K9" s="756">
        <v>36639</v>
      </c>
      <c r="L9" s="754">
        <v>15596</v>
      </c>
      <c r="M9" s="756">
        <v>36639</v>
      </c>
      <c r="N9" s="634">
        <f>J9*$Z$8</f>
        <v>17015.236000000001</v>
      </c>
      <c r="O9" s="634">
        <f>K9*$Z$8</f>
        <v>39973.148999999998</v>
      </c>
      <c r="T9" s="520">
        <v>8</v>
      </c>
      <c r="U9" s="520" t="s">
        <v>112</v>
      </c>
      <c r="V9" s="520" t="s">
        <v>115</v>
      </c>
      <c r="W9" s="521">
        <v>6.9000000000000006E-2</v>
      </c>
      <c r="X9" s="521">
        <v>8.6999999999999994E-2</v>
      </c>
      <c r="Y9" s="521">
        <v>1.4999999999999999E-2</v>
      </c>
      <c r="Z9" s="522">
        <f t="shared" si="0"/>
        <v>1.069</v>
      </c>
      <c r="AA9" s="522">
        <f t="shared" si="1"/>
        <v>1.087</v>
      </c>
      <c r="AB9" s="522">
        <f t="shared" si="1"/>
        <v>1.0149999999999999</v>
      </c>
    </row>
    <row r="10" spans="1:30" x14ac:dyDescent="0.35">
      <c r="B10" s="996"/>
      <c r="C10" s="443" t="s">
        <v>46</v>
      </c>
      <c r="D10" s="768">
        <v>0</v>
      </c>
      <c r="E10" s="769">
        <v>0</v>
      </c>
      <c r="F10" s="770">
        <v>0</v>
      </c>
      <c r="G10" s="771">
        <v>0</v>
      </c>
      <c r="H10" s="772">
        <v>0</v>
      </c>
      <c r="I10" s="773">
        <v>0</v>
      </c>
      <c r="J10" s="755">
        <v>0</v>
      </c>
      <c r="K10" s="758">
        <v>0</v>
      </c>
      <c r="L10" s="755">
        <v>0</v>
      </c>
      <c r="M10" s="757">
        <v>0</v>
      </c>
      <c r="N10" s="635">
        <f>J10*$Z$11</f>
        <v>0</v>
      </c>
      <c r="O10" s="635">
        <f>K10*$Z$11</f>
        <v>0</v>
      </c>
      <c r="T10" s="520">
        <v>9</v>
      </c>
      <c r="U10" s="520" t="s">
        <v>112</v>
      </c>
      <c r="V10" s="520" t="s">
        <v>117</v>
      </c>
      <c r="W10" s="521">
        <v>9.9000000000000005E-2</v>
      </c>
      <c r="X10" s="521">
        <v>0.121</v>
      </c>
      <c r="Y10" s="521">
        <v>1.4999999999999999E-2</v>
      </c>
      <c r="Z10" s="522">
        <f t="shared" si="0"/>
        <v>1.099</v>
      </c>
      <c r="AA10" s="522">
        <f t="shared" si="1"/>
        <v>1.121</v>
      </c>
      <c r="AB10" s="522">
        <f t="shared" si="1"/>
        <v>1.0149999999999999</v>
      </c>
    </row>
    <row r="11" spans="1:30" ht="15" thickBot="1" x14ac:dyDescent="0.4">
      <c r="B11" s="997"/>
      <c r="C11" s="444" t="s">
        <v>47</v>
      </c>
      <c r="D11" s="774">
        <v>0</v>
      </c>
      <c r="E11" s="426">
        <v>0</v>
      </c>
      <c r="F11" s="645">
        <v>0</v>
      </c>
      <c r="G11" s="646">
        <v>0</v>
      </c>
      <c r="H11" s="761">
        <v>0</v>
      </c>
      <c r="I11" s="762">
        <v>0</v>
      </c>
      <c r="J11" s="647">
        <v>0</v>
      </c>
      <c r="K11" s="648">
        <v>0</v>
      </c>
      <c r="L11" s="647">
        <v>0</v>
      </c>
      <c r="M11" s="649">
        <v>0</v>
      </c>
      <c r="N11" s="635">
        <f>J11*$Z$9</f>
        <v>0</v>
      </c>
      <c r="O11" s="635">
        <f>K11*$Z$9</f>
        <v>0</v>
      </c>
      <c r="T11" s="520">
        <v>10</v>
      </c>
      <c r="U11" s="520" t="s">
        <v>112</v>
      </c>
      <c r="V11" s="520" t="s">
        <v>120</v>
      </c>
      <c r="W11" s="521">
        <v>7.6999999999999999E-2</v>
      </c>
      <c r="X11" s="521">
        <v>9.1999999999999998E-2</v>
      </c>
      <c r="Y11" s="521">
        <v>1.4999999999999999E-2</v>
      </c>
      <c r="Z11" s="522">
        <f t="shared" si="0"/>
        <v>1.077</v>
      </c>
      <c r="AA11" s="522">
        <f t="shared" si="1"/>
        <v>1.0920000000000001</v>
      </c>
      <c r="AB11" s="522">
        <f t="shared" si="1"/>
        <v>1.0149999999999999</v>
      </c>
    </row>
    <row r="12" spans="1:30" s="93" customFormat="1" ht="15" thickBot="1" x14ac:dyDescent="0.4">
      <c r="B12" s="445" t="s">
        <v>48</v>
      </c>
      <c r="C12" s="446"/>
      <c r="D12" s="469">
        <f t="shared" ref="D12:N12" si="2">SUM(D8:D11)</f>
        <v>57</v>
      </c>
      <c r="E12" s="470">
        <f t="shared" si="2"/>
        <v>14</v>
      </c>
      <c r="F12" s="471">
        <f t="shared" si="2"/>
        <v>169.30699999999999</v>
      </c>
      <c r="G12" s="472">
        <f t="shared" si="2"/>
        <v>371.1028</v>
      </c>
      <c r="H12" s="512">
        <f t="shared" si="2"/>
        <v>1043.21</v>
      </c>
      <c r="I12" s="513">
        <f t="shared" si="2"/>
        <v>2493.9899999999998</v>
      </c>
      <c r="J12" s="473">
        <f t="shared" si="2"/>
        <v>15596</v>
      </c>
      <c r="K12" s="474">
        <f t="shared" si="2"/>
        <v>36639</v>
      </c>
      <c r="L12" s="473">
        <f t="shared" si="2"/>
        <v>15596</v>
      </c>
      <c r="M12" s="474">
        <f t="shared" si="2"/>
        <v>36639</v>
      </c>
      <c r="N12" s="473">
        <f t="shared" si="2"/>
        <v>17015.236000000001</v>
      </c>
      <c r="O12" s="474">
        <f t="shared" ref="O12" si="3">SUM(O8:O11)</f>
        <v>39973.148999999998</v>
      </c>
      <c r="P12"/>
      <c r="Q12"/>
      <c r="R12"/>
      <c r="S12"/>
      <c r="T12" s="520">
        <v>11</v>
      </c>
      <c r="U12" s="520" t="s">
        <v>121</v>
      </c>
      <c r="V12" s="520" t="s">
        <v>122</v>
      </c>
      <c r="W12" s="521">
        <v>0.115</v>
      </c>
      <c r="X12" s="521">
        <v>0.13400000000000001</v>
      </c>
      <c r="Y12" s="521">
        <v>1.4999999999999999E-2</v>
      </c>
      <c r="Z12" s="522">
        <f t="shared" si="0"/>
        <v>1.115</v>
      </c>
      <c r="AA12" s="522">
        <f t="shared" si="1"/>
        <v>1.1339999999999999</v>
      </c>
      <c r="AB12" s="522">
        <f t="shared" si="1"/>
        <v>1.0149999999999999</v>
      </c>
      <c r="AC12"/>
      <c r="AD12"/>
    </row>
    <row r="13" spans="1:30" ht="15" thickBot="1" x14ac:dyDescent="0.4">
      <c r="B13" s="447"/>
      <c r="C13" s="448"/>
      <c r="D13" s="447"/>
      <c r="E13" s="475"/>
      <c r="F13" s="451"/>
      <c r="G13" s="452"/>
      <c r="H13" s="447"/>
      <c r="I13" s="475"/>
      <c r="J13" s="449"/>
      <c r="K13" s="450"/>
      <c r="L13" s="449"/>
      <c r="M13" s="450"/>
      <c r="N13" s="449"/>
      <c r="O13" s="450"/>
    </row>
    <row r="14" spans="1:30" x14ac:dyDescent="0.35">
      <c r="B14" s="977" t="s">
        <v>110</v>
      </c>
      <c r="C14" s="660" t="s">
        <v>45</v>
      </c>
      <c r="D14" s="636">
        <v>0</v>
      </c>
      <c r="E14" s="637">
        <v>0</v>
      </c>
      <c r="F14" s="638">
        <v>0</v>
      </c>
      <c r="G14" s="639">
        <v>0</v>
      </c>
      <c r="H14" s="636">
        <v>0</v>
      </c>
      <c r="I14" s="637">
        <v>0</v>
      </c>
      <c r="J14" s="640">
        <v>0</v>
      </c>
      <c r="K14" s="641">
        <v>0</v>
      </c>
      <c r="L14" s="640">
        <v>0</v>
      </c>
      <c r="M14" s="642">
        <v>0</v>
      </c>
      <c r="N14" s="643">
        <f>J14*$Z$7</f>
        <v>0</v>
      </c>
      <c r="O14" s="643">
        <f>K14*$Z$7</f>
        <v>0</v>
      </c>
      <c r="Q14" s="502"/>
    </row>
    <row r="15" spans="1:30" ht="15.75" customHeight="1" thickBot="1" x14ac:dyDescent="0.4">
      <c r="B15" s="978"/>
      <c r="C15" s="661" t="s">
        <v>47</v>
      </c>
      <c r="D15" s="644">
        <v>0</v>
      </c>
      <c r="E15" s="426">
        <v>0</v>
      </c>
      <c r="F15" s="645">
        <v>0</v>
      </c>
      <c r="G15" s="646">
        <v>0</v>
      </c>
      <c r="H15" s="644">
        <v>0</v>
      </c>
      <c r="I15" s="426">
        <v>0</v>
      </c>
      <c r="J15" s="647">
        <v>0</v>
      </c>
      <c r="K15" s="648">
        <v>0</v>
      </c>
      <c r="L15" s="647">
        <v>0</v>
      </c>
      <c r="M15" s="649">
        <v>0</v>
      </c>
      <c r="N15" s="643">
        <f>J15*$Z$7</f>
        <v>0</v>
      </c>
      <c r="O15" s="643">
        <f>K15*$Z$7</f>
        <v>0</v>
      </c>
    </row>
    <row r="16" spans="1:30" ht="15" thickBot="1" x14ac:dyDescent="0.4">
      <c r="B16" s="453" t="s">
        <v>50</v>
      </c>
      <c r="C16" s="454"/>
      <c r="D16" s="453"/>
      <c r="E16" s="476"/>
      <c r="F16" s="456"/>
      <c r="G16" s="457"/>
      <c r="H16" s="453"/>
      <c r="I16" s="458"/>
      <c r="J16" s="455"/>
      <c r="K16" s="458"/>
      <c r="L16" s="455"/>
      <c r="M16" s="458"/>
      <c r="N16" s="455"/>
      <c r="O16" s="458"/>
    </row>
    <row r="17" spans="2:15" ht="15" thickBot="1" x14ac:dyDescent="0.4">
      <c r="B17" s="459" t="s">
        <v>174</v>
      </c>
      <c r="C17" s="460"/>
      <c r="D17" s="477" t="s">
        <v>101</v>
      </c>
      <c r="E17" s="478" t="s">
        <v>101</v>
      </c>
      <c r="F17" s="479" t="s">
        <v>101</v>
      </c>
      <c r="G17" s="480" t="s">
        <v>101</v>
      </c>
      <c r="H17" s="477" t="s">
        <v>101</v>
      </c>
      <c r="I17" s="481" t="s">
        <v>101</v>
      </c>
      <c r="J17" s="482" t="s">
        <v>101</v>
      </c>
      <c r="K17" s="481" t="s">
        <v>101</v>
      </c>
      <c r="L17" s="482" t="s">
        <v>101</v>
      </c>
      <c r="M17" s="481" t="s">
        <v>101</v>
      </c>
      <c r="N17" s="482" t="s">
        <v>101</v>
      </c>
      <c r="O17" s="481" t="s">
        <v>101</v>
      </c>
    </row>
    <row r="18" spans="2:15" ht="15" thickBot="1" x14ac:dyDescent="0.4">
      <c r="B18" s="445" t="s">
        <v>52</v>
      </c>
      <c r="C18" s="446"/>
      <c r="D18" s="469">
        <f>SUM(D17)</f>
        <v>0</v>
      </c>
      <c r="E18" s="470">
        <f t="shared" ref="E18:O18" si="4">SUM(E17)</f>
        <v>0</v>
      </c>
      <c r="F18" s="471">
        <f t="shared" si="4"/>
        <v>0</v>
      </c>
      <c r="G18" s="472">
        <f t="shared" si="4"/>
        <v>0</v>
      </c>
      <c r="H18" s="469">
        <f t="shared" si="4"/>
        <v>0</v>
      </c>
      <c r="I18" s="474">
        <f t="shared" si="4"/>
        <v>0</v>
      </c>
      <c r="J18" s="473">
        <f t="shared" si="4"/>
        <v>0</v>
      </c>
      <c r="K18" s="474">
        <f t="shared" si="4"/>
        <v>0</v>
      </c>
      <c r="L18" s="473">
        <f t="shared" si="4"/>
        <v>0</v>
      </c>
      <c r="M18" s="474">
        <f t="shared" si="4"/>
        <v>0</v>
      </c>
      <c r="N18" s="473">
        <f t="shared" si="4"/>
        <v>0</v>
      </c>
      <c r="O18" s="474">
        <f t="shared" si="4"/>
        <v>0</v>
      </c>
    </row>
    <row r="19" spans="2:15" x14ac:dyDescent="0.35">
      <c r="B19" s="461"/>
      <c r="C19" s="462"/>
      <c r="D19" s="461"/>
      <c r="E19" s="483"/>
      <c r="F19" s="465"/>
      <c r="G19" s="466"/>
      <c r="H19" s="461"/>
      <c r="I19" s="483"/>
      <c r="J19" s="463"/>
      <c r="K19" s="464"/>
      <c r="L19" s="463"/>
      <c r="M19" s="464"/>
      <c r="N19" s="463"/>
      <c r="O19" s="464"/>
    </row>
    <row r="20" spans="2:15" ht="15" thickBot="1" x14ac:dyDescent="0.4">
      <c r="B20" s="467" t="s">
        <v>53</v>
      </c>
      <c r="C20" s="468"/>
      <c r="D20" s="484">
        <f>SUM(D18,D14:D15,D12)</f>
        <v>57</v>
      </c>
      <c r="E20" s="485">
        <f t="shared" ref="E20:O20" si="5">SUM(E18,E14:E15,E12)</f>
        <v>14</v>
      </c>
      <c r="F20" s="486">
        <f t="shared" si="5"/>
        <v>169.30699999999999</v>
      </c>
      <c r="G20" s="487">
        <f t="shared" si="5"/>
        <v>371.1028</v>
      </c>
      <c r="H20" s="514">
        <f t="shared" si="5"/>
        <v>1043.21</v>
      </c>
      <c r="I20" s="515">
        <f t="shared" si="5"/>
        <v>2493.9899999999998</v>
      </c>
      <c r="J20" s="488">
        <f>SUM(J18,J14:J15,J12)</f>
        <v>15596</v>
      </c>
      <c r="K20" s="474">
        <f t="shared" si="5"/>
        <v>36639</v>
      </c>
      <c r="L20" s="488">
        <f>SUM(L18,L14:L15,L12)</f>
        <v>15596</v>
      </c>
      <c r="M20" s="474">
        <f t="shared" ref="M20" si="6">SUM(M18,M14:M15,M12)</f>
        <v>36639</v>
      </c>
      <c r="N20" s="488">
        <f t="shared" si="5"/>
        <v>17015.236000000001</v>
      </c>
      <c r="O20" s="474">
        <f t="shared" si="5"/>
        <v>39973.148999999998</v>
      </c>
    </row>
    <row r="21" spans="2:15" ht="15" thickBot="1" x14ac:dyDescent="0.4">
      <c r="B21" s="445" t="s">
        <v>54</v>
      </c>
      <c r="C21" s="489"/>
      <c r="D21" s="490"/>
      <c r="E21" s="491"/>
      <c r="F21" s="473">
        <v>0</v>
      </c>
      <c r="G21" s="474">
        <v>0</v>
      </c>
      <c r="H21" s="490"/>
      <c r="I21" s="491"/>
      <c r="J21" s="490"/>
      <c r="K21" s="491"/>
      <c r="L21" s="490"/>
      <c r="M21" s="491"/>
      <c r="N21" s="490"/>
      <c r="O21" s="491"/>
    </row>
    <row r="22" spans="2:15" x14ac:dyDescent="0.35">
      <c r="B22" s="492"/>
      <c r="C22" s="492"/>
      <c r="D22" s="492"/>
      <c r="E22" s="492"/>
      <c r="F22" s="492"/>
      <c r="G22" s="492"/>
      <c r="H22" s="492"/>
      <c r="I22" s="492"/>
      <c r="J22" s="492"/>
      <c r="K22" s="493"/>
      <c r="L22" s="492"/>
      <c r="M22" s="492"/>
      <c r="N22" s="494"/>
      <c r="O22" s="494"/>
    </row>
    <row r="26" spans="2:15" x14ac:dyDescent="0.35">
      <c r="B26" s="339"/>
    </row>
  </sheetData>
  <mergeCells count="12">
    <mergeCell ref="L6:M6"/>
    <mergeCell ref="J4:O4"/>
    <mergeCell ref="J6:K6"/>
    <mergeCell ref="N6:O6"/>
    <mergeCell ref="B9:B11"/>
    <mergeCell ref="B14:B15"/>
    <mergeCell ref="D4:E4"/>
    <mergeCell ref="F4:G4"/>
    <mergeCell ref="H4:I4"/>
    <mergeCell ref="D6:E6"/>
    <mergeCell ref="F6:G6"/>
    <mergeCell ref="H6:I6"/>
  </mergeCells>
  <pageMargins left="0.25" right="0.25" top="0.75" bottom="0.75" header="0.3" footer="0.3"/>
  <pageSetup scale="10" fitToHeight="0" orientation="landscape" r:id="rId1"/>
  <headerFooter>
    <oddHeader>&amp;CACE Q1 of Program Year 2022 Small Business Reporting Table</oddHeader>
    <oddFooter>&amp;C&amp;N&amp;R&amp;D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4659260841701"/>
    <pageSetUpPr fitToPage="1"/>
  </sheetPr>
  <dimension ref="A1:S64"/>
  <sheetViews>
    <sheetView workbookViewId="0"/>
  </sheetViews>
  <sheetFormatPr defaultColWidth="8.7265625" defaultRowHeight="14.5" x14ac:dyDescent="0.35"/>
  <cols>
    <col min="1" max="1" width="47" customWidth="1"/>
    <col min="2" max="5" width="16.453125" customWidth="1"/>
    <col min="6" max="6" width="19.26953125" customWidth="1"/>
    <col min="7" max="7" width="33.26953125" customWidth="1"/>
    <col min="8" max="8" width="11.453125" customWidth="1"/>
    <col min="9" max="9" width="15.453125" customWidth="1"/>
    <col min="10" max="19" width="11.453125" customWidth="1"/>
  </cols>
  <sheetData>
    <row r="1" spans="1:10" x14ac:dyDescent="0.35">
      <c r="G1" t="s">
        <v>181</v>
      </c>
    </row>
    <row r="2" spans="1:10" ht="59.25" customHeight="1" x14ac:dyDescent="0.35">
      <c r="A2" s="259"/>
      <c r="B2" s="259" t="s">
        <v>182</v>
      </c>
      <c r="C2" s="143" t="s">
        <v>183</v>
      </c>
      <c r="D2" s="143" t="s">
        <v>184</v>
      </c>
      <c r="E2" s="313" t="s">
        <v>185</v>
      </c>
      <c r="F2" s="306" t="s">
        <v>186</v>
      </c>
      <c r="G2" s="327"/>
    </row>
    <row r="3" spans="1:10" x14ac:dyDescent="0.35">
      <c r="A3" s="304" t="s">
        <v>187</v>
      </c>
      <c r="B3" s="304"/>
      <c r="C3" s="330">
        <v>9834156</v>
      </c>
      <c r="D3" s="336"/>
      <c r="E3" s="331">
        <v>33017</v>
      </c>
      <c r="F3" s="320"/>
      <c r="G3" s="328"/>
      <c r="H3" s="329"/>
    </row>
    <row r="4" spans="1:10" x14ac:dyDescent="0.35">
      <c r="A4" s="304" t="s">
        <v>131</v>
      </c>
      <c r="B4" s="304"/>
      <c r="C4" s="304"/>
      <c r="D4" s="336"/>
      <c r="E4" s="334"/>
      <c r="F4" s="335"/>
      <c r="G4" s="318"/>
      <c r="H4" s="318"/>
    </row>
    <row r="5" spans="1:10" x14ac:dyDescent="0.35">
      <c r="A5" s="304" t="s">
        <v>188</v>
      </c>
      <c r="B5" s="326"/>
      <c r="C5" s="304"/>
      <c r="D5" s="336"/>
      <c r="E5" s="334"/>
      <c r="F5" s="335"/>
      <c r="G5" s="318"/>
      <c r="H5" s="318"/>
    </row>
    <row r="6" spans="1:10" x14ac:dyDescent="0.35">
      <c r="A6" s="304"/>
      <c r="B6" s="304"/>
      <c r="C6" s="304"/>
      <c r="D6" s="336"/>
      <c r="E6" s="334"/>
      <c r="F6" s="335"/>
      <c r="G6" s="318"/>
      <c r="H6" s="318"/>
    </row>
    <row r="7" spans="1:10" x14ac:dyDescent="0.35">
      <c r="A7" s="321" t="s">
        <v>189</v>
      </c>
      <c r="B7" s="324">
        <f>SUM(B3+B4+B5)</f>
        <v>0</v>
      </c>
      <c r="C7" s="322">
        <f t="shared" ref="C7" si="0">SUM(C3+C4+C5)</f>
        <v>9834156</v>
      </c>
      <c r="D7" s="336" t="e">
        <f>SUM(C7/B7)</f>
        <v>#DIV/0!</v>
      </c>
      <c r="E7" s="333">
        <v>33017</v>
      </c>
      <c r="F7" s="337" t="e">
        <f>SUM(D7/E7)</f>
        <v>#DIV/0!</v>
      </c>
      <c r="G7" s="318"/>
      <c r="H7" s="318"/>
    </row>
    <row r="8" spans="1:10" x14ac:dyDescent="0.35">
      <c r="G8" t="s">
        <v>190</v>
      </c>
    </row>
    <row r="9" spans="1:10" x14ac:dyDescent="0.35">
      <c r="A9" s="305" t="s">
        <v>191</v>
      </c>
      <c r="G9" s="305" t="s">
        <v>192</v>
      </c>
    </row>
    <row r="10" spans="1:10" ht="24" x14ac:dyDescent="0.35">
      <c r="A10" s="259" t="s">
        <v>193</v>
      </c>
      <c r="B10" s="259" t="s">
        <v>194</v>
      </c>
      <c r="C10" s="143" t="s">
        <v>195</v>
      </c>
      <c r="D10" s="143" t="s">
        <v>137</v>
      </c>
      <c r="E10" s="313" t="s">
        <v>138</v>
      </c>
      <c r="G10" s="305" t="s">
        <v>187</v>
      </c>
      <c r="H10" s="301"/>
      <c r="I10" t="s">
        <v>196</v>
      </c>
    </row>
    <row r="11" spans="1:10" x14ac:dyDescent="0.35">
      <c r="A11" s="304" t="s">
        <v>139</v>
      </c>
      <c r="B11" s="317"/>
      <c r="C11" s="317"/>
      <c r="D11" s="317"/>
      <c r="E11" s="316"/>
      <c r="G11" t="s">
        <v>197</v>
      </c>
      <c r="H11" s="301"/>
      <c r="I11" t="s">
        <v>198</v>
      </c>
    </row>
    <row r="12" spans="1:10" x14ac:dyDescent="0.35">
      <c r="A12" s="304" t="s">
        <v>49</v>
      </c>
      <c r="B12" s="317"/>
      <c r="C12" s="317"/>
      <c r="D12" s="317"/>
      <c r="E12" s="316"/>
      <c r="G12" s="305" t="s">
        <v>188</v>
      </c>
      <c r="H12" s="325"/>
      <c r="I12" t="s">
        <v>199</v>
      </c>
    </row>
    <row r="13" spans="1:10" x14ac:dyDescent="0.35">
      <c r="A13" s="304" t="s">
        <v>112</v>
      </c>
      <c r="B13" s="317"/>
      <c r="C13" s="317"/>
      <c r="D13" s="317"/>
      <c r="E13" s="316"/>
      <c r="G13" s="305" t="s">
        <v>200</v>
      </c>
      <c r="H13" s="301"/>
      <c r="I13" t="s">
        <v>201</v>
      </c>
    </row>
    <row r="14" spans="1:10" x14ac:dyDescent="0.35">
      <c r="A14" s="312" t="s">
        <v>140</v>
      </c>
      <c r="B14" s="315"/>
      <c r="C14" s="315"/>
      <c r="D14" s="315"/>
      <c r="E14" s="314"/>
      <c r="G14" s="305" t="s">
        <v>202</v>
      </c>
      <c r="H14" s="323"/>
      <c r="I14" t="s">
        <v>203</v>
      </c>
      <c r="J14" t="s">
        <v>204</v>
      </c>
    </row>
    <row r="15" spans="1:10" x14ac:dyDescent="0.35">
      <c r="A15" s="304" t="s">
        <v>131</v>
      </c>
      <c r="B15" s="317"/>
      <c r="C15" s="317">
        <v>1000</v>
      </c>
      <c r="D15" s="317"/>
      <c r="E15" s="316"/>
      <c r="G15" s="305" t="s">
        <v>205</v>
      </c>
      <c r="H15" s="301"/>
      <c r="I15" t="s">
        <v>206</v>
      </c>
    </row>
    <row r="16" spans="1:10" x14ac:dyDescent="0.35">
      <c r="A16" s="312" t="s">
        <v>141</v>
      </c>
      <c r="B16" s="315"/>
      <c r="C16" s="315"/>
      <c r="D16" s="315"/>
      <c r="E16" s="314"/>
      <c r="G16" s="305" t="s">
        <v>207</v>
      </c>
      <c r="H16" s="332"/>
      <c r="I16" t="s">
        <v>208</v>
      </c>
      <c r="J16" t="s">
        <v>209</v>
      </c>
    </row>
    <row r="18" spans="1:7" x14ac:dyDescent="0.35">
      <c r="A18" t="s">
        <v>210</v>
      </c>
      <c r="G18" s="305" t="s">
        <v>211</v>
      </c>
    </row>
    <row r="19" spans="1:7" ht="29" x14ac:dyDescent="0.35">
      <c r="A19" s="259" t="s">
        <v>212</v>
      </c>
      <c r="B19" s="259" t="s">
        <v>213</v>
      </c>
      <c r="C19" s="143" t="s">
        <v>214</v>
      </c>
      <c r="D19" s="143" t="s">
        <v>142</v>
      </c>
      <c r="E19" s="313" t="s">
        <v>143</v>
      </c>
      <c r="G19" s="305" t="s">
        <v>215</v>
      </c>
    </row>
    <row r="20" spans="1:7" x14ac:dyDescent="0.35">
      <c r="A20" s="304" t="s">
        <v>139</v>
      </c>
      <c r="B20" s="303"/>
      <c r="C20" s="303"/>
      <c r="D20" s="303"/>
      <c r="E20" s="316"/>
      <c r="G20" s="305" t="s">
        <v>216</v>
      </c>
    </row>
    <row r="21" spans="1:7" x14ac:dyDescent="0.35">
      <c r="A21" s="304" t="s">
        <v>49</v>
      </c>
      <c r="B21" s="303"/>
      <c r="C21" s="303"/>
      <c r="D21" s="303"/>
      <c r="E21" s="316"/>
    </row>
    <row r="22" spans="1:7" x14ac:dyDescent="0.35">
      <c r="A22" s="304" t="s">
        <v>112</v>
      </c>
      <c r="B22" s="303"/>
      <c r="C22" s="303"/>
      <c r="D22" s="303"/>
      <c r="E22" s="316"/>
    </row>
    <row r="23" spans="1:7" x14ac:dyDescent="0.35">
      <c r="A23" s="312" t="s">
        <v>140</v>
      </c>
      <c r="B23" s="311"/>
      <c r="C23" s="311"/>
      <c r="D23" s="311"/>
      <c r="E23" s="314"/>
    </row>
    <row r="24" spans="1:7" x14ac:dyDescent="0.35">
      <c r="A24" s="304" t="s">
        <v>131</v>
      </c>
      <c r="B24" s="303"/>
      <c r="C24" s="303">
        <v>5000</v>
      </c>
      <c r="D24" s="303">
        <v>10000</v>
      </c>
      <c r="E24" s="316"/>
    </row>
    <row r="25" spans="1:7" x14ac:dyDescent="0.35">
      <c r="A25" s="312" t="s">
        <v>141</v>
      </c>
      <c r="B25" s="311"/>
      <c r="C25" s="311"/>
      <c r="D25" s="311"/>
      <c r="E25" s="314"/>
    </row>
    <row r="27" spans="1:7" x14ac:dyDescent="0.35">
      <c r="A27" t="s">
        <v>217</v>
      </c>
    </row>
    <row r="28" spans="1:7" ht="24" x14ac:dyDescent="0.35">
      <c r="A28" s="259" t="s">
        <v>218</v>
      </c>
      <c r="B28" s="259" t="s">
        <v>219</v>
      </c>
      <c r="C28" s="143" t="s">
        <v>220</v>
      </c>
      <c r="D28" s="143" t="s">
        <v>221</v>
      </c>
      <c r="E28" s="313" t="s">
        <v>144</v>
      </c>
    </row>
    <row r="29" spans="1:7" x14ac:dyDescent="0.35">
      <c r="A29" s="304" t="s">
        <v>139</v>
      </c>
      <c r="B29" s="317"/>
      <c r="C29" s="317"/>
      <c r="D29" s="317"/>
      <c r="E29" s="316"/>
    </row>
    <row r="30" spans="1:7" x14ac:dyDescent="0.35">
      <c r="A30" s="304" t="s">
        <v>49</v>
      </c>
      <c r="B30" s="317"/>
      <c r="C30" s="317"/>
      <c r="D30" s="317"/>
      <c r="E30" s="316"/>
    </row>
    <row r="31" spans="1:7" x14ac:dyDescent="0.35">
      <c r="A31" s="304" t="s">
        <v>112</v>
      </c>
      <c r="B31" s="317"/>
      <c r="C31" s="317"/>
      <c r="D31" s="317"/>
      <c r="E31" s="316"/>
    </row>
    <row r="32" spans="1:7" x14ac:dyDescent="0.35">
      <c r="A32" s="312" t="s">
        <v>140</v>
      </c>
      <c r="B32" s="315"/>
      <c r="C32" s="315"/>
      <c r="D32" s="315"/>
      <c r="E32" s="314"/>
    </row>
    <row r="33" spans="1:5" x14ac:dyDescent="0.35">
      <c r="A33" s="304" t="s">
        <v>131</v>
      </c>
      <c r="B33" s="317"/>
      <c r="C33" s="317">
        <v>3000</v>
      </c>
      <c r="D33" s="317"/>
      <c r="E33" s="316"/>
    </row>
    <row r="34" spans="1:5" x14ac:dyDescent="0.35">
      <c r="A34" s="312" t="s">
        <v>141</v>
      </c>
      <c r="B34" s="315"/>
      <c r="C34" s="315"/>
      <c r="D34" s="315"/>
      <c r="E34" s="314"/>
    </row>
    <row r="36" spans="1:5" x14ac:dyDescent="0.35">
      <c r="A36" t="s">
        <v>222</v>
      </c>
    </row>
    <row r="37" spans="1:5" ht="24" x14ac:dyDescent="0.35">
      <c r="A37" s="259" t="s">
        <v>218</v>
      </c>
      <c r="B37" s="259" t="s">
        <v>219</v>
      </c>
      <c r="C37" s="143" t="s">
        <v>220</v>
      </c>
      <c r="D37" s="143" t="s">
        <v>221</v>
      </c>
      <c r="E37" s="313" t="s">
        <v>144</v>
      </c>
    </row>
    <row r="38" spans="1:5" x14ac:dyDescent="0.35">
      <c r="A38" s="304" t="s">
        <v>139</v>
      </c>
      <c r="B38" s="317"/>
      <c r="C38" s="317"/>
      <c r="D38" s="317"/>
      <c r="E38" s="316"/>
    </row>
    <row r="39" spans="1:5" x14ac:dyDescent="0.35">
      <c r="A39" s="304" t="s">
        <v>49</v>
      </c>
      <c r="B39" s="317"/>
      <c r="C39" s="317"/>
      <c r="D39" s="317"/>
      <c r="E39" s="316"/>
    </row>
    <row r="40" spans="1:5" x14ac:dyDescent="0.35">
      <c r="A40" s="304" t="s">
        <v>112</v>
      </c>
      <c r="B40" s="317"/>
      <c r="C40" s="317"/>
      <c r="D40" s="317"/>
      <c r="E40" s="316"/>
    </row>
    <row r="41" spans="1:5" x14ac:dyDescent="0.35">
      <c r="A41" s="312" t="s">
        <v>140</v>
      </c>
      <c r="B41" s="315"/>
      <c r="C41" s="315"/>
      <c r="D41" s="315"/>
      <c r="E41" s="314"/>
    </row>
    <row r="42" spans="1:5" x14ac:dyDescent="0.35">
      <c r="A42" s="304" t="s">
        <v>131</v>
      </c>
      <c r="B42" s="317"/>
      <c r="C42" s="317"/>
      <c r="D42" s="317"/>
      <c r="E42" s="316"/>
    </row>
    <row r="43" spans="1:5" x14ac:dyDescent="0.35">
      <c r="A43" s="312" t="s">
        <v>141</v>
      </c>
      <c r="B43" s="315"/>
      <c r="C43" s="315"/>
      <c r="D43" s="315"/>
      <c r="E43" s="314"/>
    </row>
    <row r="45" spans="1:5" x14ac:dyDescent="0.35">
      <c r="A45" t="s">
        <v>223</v>
      </c>
    </row>
    <row r="46" spans="1:5" ht="24" x14ac:dyDescent="0.35">
      <c r="A46" s="259" t="s">
        <v>224</v>
      </c>
      <c r="B46" s="259" t="s">
        <v>145</v>
      </c>
      <c r="C46" s="143" t="s">
        <v>225</v>
      </c>
      <c r="D46" s="143" t="s">
        <v>146</v>
      </c>
      <c r="E46" s="313" t="s">
        <v>226</v>
      </c>
    </row>
    <row r="47" spans="1:5" x14ac:dyDescent="0.35">
      <c r="A47" s="304" t="s">
        <v>147</v>
      </c>
      <c r="B47" s="303"/>
      <c r="C47" s="303"/>
      <c r="D47" s="303"/>
      <c r="E47" s="302"/>
    </row>
    <row r="48" spans="1:5" x14ac:dyDescent="0.35">
      <c r="A48" s="304" t="s">
        <v>148</v>
      </c>
      <c r="B48" s="303"/>
      <c r="C48" s="303"/>
      <c r="D48" s="303"/>
      <c r="E48" s="302"/>
    </row>
    <row r="49" spans="1:19" x14ac:dyDescent="0.35">
      <c r="A49" s="304" t="s">
        <v>149</v>
      </c>
      <c r="B49" s="303"/>
      <c r="C49" s="303"/>
      <c r="D49" s="303"/>
      <c r="E49" s="302"/>
    </row>
    <row r="50" spans="1:19" x14ac:dyDescent="0.35">
      <c r="A50" s="304" t="s">
        <v>150</v>
      </c>
      <c r="B50" s="303"/>
      <c r="C50" s="303"/>
      <c r="D50" s="303"/>
      <c r="E50" s="302"/>
    </row>
    <row r="51" spans="1:19" x14ac:dyDescent="0.35">
      <c r="A51" s="304" t="s">
        <v>151</v>
      </c>
      <c r="B51" s="303"/>
      <c r="C51" s="303"/>
      <c r="D51" s="303"/>
      <c r="E51" s="302"/>
    </row>
    <row r="52" spans="1:19" x14ac:dyDescent="0.35">
      <c r="A52" s="304" t="s">
        <v>152</v>
      </c>
      <c r="B52" s="303"/>
      <c r="C52" s="303"/>
      <c r="D52" s="303"/>
      <c r="E52" s="302"/>
    </row>
    <row r="53" spans="1:19" x14ac:dyDescent="0.35">
      <c r="A53" s="304" t="s">
        <v>227</v>
      </c>
      <c r="B53" s="303"/>
      <c r="C53" s="303"/>
      <c r="D53" s="303"/>
      <c r="E53" s="302"/>
    </row>
    <row r="54" spans="1:19" x14ac:dyDescent="0.35">
      <c r="A54" s="304" t="s">
        <v>153</v>
      </c>
      <c r="B54" s="303"/>
      <c r="C54" s="303"/>
      <c r="D54" s="303"/>
      <c r="E54" s="302"/>
    </row>
    <row r="55" spans="1:19" x14ac:dyDescent="0.35">
      <c r="A55" s="312" t="s">
        <v>141</v>
      </c>
      <c r="B55" s="311"/>
      <c r="C55" s="311"/>
      <c r="D55" s="311"/>
      <c r="E55" s="310"/>
    </row>
    <row r="57" spans="1:19" x14ac:dyDescent="0.35">
      <c r="G57" s="305" t="s">
        <v>228</v>
      </c>
    </row>
    <row r="58" spans="1:19" x14ac:dyDescent="0.35">
      <c r="G58" s="999"/>
      <c r="H58" s="998" t="s">
        <v>155</v>
      </c>
      <c r="I58" s="998"/>
      <c r="J58" s="998"/>
      <c r="K58" s="998"/>
      <c r="L58" s="998"/>
      <c r="M58" s="998"/>
      <c r="N58" s="998" t="s">
        <v>156</v>
      </c>
      <c r="O58" s="998"/>
      <c r="P58" s="998"/>
      <c r="Q58" s="998"/>
      <c r="R58" s="998"/>
      <c r="S58" s="998"/>
    </row>
    <row r="59" spans="1:19" x14ac:dyDescent="0.35">
      <c r="G59" s="1000"/>
      <c r="H59" s="309" t="s">
        <v>157</v>
      </c>
      <c r="I59" s="308" t="s">
        <v>158</v>
      </c>
      <c r="J59" s="308" t="s">
        <v>159</v>
      </c>
      <c r="K59" s="307" t="s">
        <v>160</v>
      </c>
      <c r="L59" s="306" t="s">
        <v>161</v>
      </c>
      <c r="M59" s="306" t="s">
        <v>162</v>
      </c>
      <c r="N59" s="309" t="s">
        <v>157</v>
      </c>
      <c r="O59" s="308" t="s">
        <v>158</v>
      </c>
      <c r="P59" s="308" t="s">
        <v>159</v>
      </c>
      <c r="Q59" s="307" t="s">
        <v>160</v>
      </c>
      <c r="R59" s="306" t="s">
        <v>161</v>
      </c>
      <c r="S59" s="306" t="s">
        <v>162</v>
      </c>
    </row>
    <row r="60" spans="1:19" x14ac:dyDescent="0.35">
      <c r="G60" s="304" t="s">
        <v>229</v>
      </c>
      <c r="H60" s="303"/>
      <c r="I60" s="303"/>
      <c r="J60" s="303"/>
      <c r="K60" s="302"/>
      <c r="L60" s="302"/>
      <c r="M60" s="302"/>
      <c r="N60" s="303"/>
      <c r="O60" s="303"/>
      <c r="P60" s="303"/>
      <c r="Q60" s="302"/>
      <c r="R60" s="302"/>
      <c r="S60" s="302"/>
    </row>
    <row r="61" spans="1:19" x14ac:dyDescent="0.35">
      <c r="G61" s="304" t="s">
        <v>230</v>
      </c>
      <c r="H61" s="303"/>
      <c r="I61" s="303"/>
      <c r="J61" s="303"/>
      <c r="K61" s="302"/>
      <c r="L61" s="302"/>
      <c r="M61" s="302"/>
      <c r="N61" s="303"/>
      <c r="O61" s="303"/>
      <c r="P61" s="303"/>
      <c r="Q61" s="302"/>
      <c r="R61" s="302"/>
      <c r="S61" s="302"/>
    </row>
    <row r="62" spans="1:19" x14ac:dyDescent="0.35">
      <c r="G62" s="304" t="s">
        <v>231</v>
      </c>
      <c r="H62" s="303"/>
      <c r="I62" s="303"/>
      <c r="J62" s="303"/>
      <c r="K62" s="302"/>
      <c r="L62" s="302"/>
      <c r="M62" s="302"/>
      <c r="N62" s="303"/>
      <c r="O62" s="303"/>
      <c r="P62" s="303"/>
      <c r="Q62" s="302"/>
      <c r="R62" s="302"/>
      <c r="S62" s="302"/>
    </row>
    <row r="63" spans="1:19" x14ac:dyDescent="0.35">
      <c r="A63" s="305"/>
      <c r="G63" s="304" t="s">
        <v>232</v>
      </c>
      <c r="H63" s="303"/>
      <c r="I63" s="303"/>
      <c r="J63" s="303"/>
      <c r="K63" s="302"/>
      <c r="L63" s="302"/>
      <c r="M63" s="302"/>
      <c r="N63" s="303"/>
      <c r="O63" s="303"/>
      <c r="P63" s="303"/>
      <c r="Q63" s="302"/>
      <c r="R63" s="302"/>
      <c r="S63" s="302"/>
    </row>
    <row r="64" spans="1:19" x14ac:dyDescent="0.35">
      <c r="G64" s="304" t="s">
        <v>121</v>
      </c>
      <c r="H64" s="303"/>
      <c r="I64" s="303"/>
      <c r="J64" s="303"/>
      <c r="K64" s="302"/>
      <c r="L64" s="302"/>
      <c r="M64" s="302"/>
      <c r="N64" s="303"/>
      <c r="O64" s="303"/>
      <c r="P64" s="303"/>
      <c r="Q64" s="302"/>
      <c r="R64" s="302"/>
      <c r="S64" s="302"/>
    </row>
  </sheetData>
  <mergeCells count="3">
    <mergeCell ref="N58:S58"/>
    <mergeCell ref="H58:M58"/>
    <mergeCell ref="G58:G59"/>
  </mergeCells>
  <pageMargins left="0.7" right="0.7" top="0.75" bottom="0.75" header="0.3" footer="0.3"/>
  <pageSetup scale="10"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F497D"/>
  </sheetPr>
  <dimension ref="B1:S35"/>
  <sheetViews>
    <sheetView topLeftCell="A3" zoomScale="89" zoomScaleNormal="89" workbookViewId="0"/>
  </sheetViews>
  <sheetFormatPr defaultColWidth="8.453125" defaultRowHeight="14" x14ac:dyDescent="0.3"/>
  <cols>
    <col min="1" max="1" width="4.7265625" style="354" customWidth="1"/>
    <col min="2" max="2" width="35" style="354" customWidth="1"/>
    <col min="3" max="3" width="22.26953125" style="354" customWidth="1"/>
    <col min="4" max="4" width="17.26953125" style="354" customWidth="1"/>
    <col min="5" max="5" width="16.26953125" style="354" customWidth="1"/>
    <col min="6" max="6" width="9.26953125" style="354" bestFit="1" customWidth="1"/>
    <col min="7" max="7" width="16.7265625" style="354" customWidth="1"/>
    <col min="8" max="16384" width="8.453125" style="354"/>
  </cols>
  <sheetData>
    <row r="1" spans="2:19" ht="18" x14ac:dyDescent="0.4">
      <c r="B1" s="601" t="s">
        <v>233</v>
      </c>
      <c r="C1" s="600"/>
      <c r="D1" s="365"/>
      <c r="E1" s="365"/>
      <c r="F1" s="365"/>
      <c r="G1" s="365"/>
      <c r="H1" s="365"/>
      <c r="I1" s="365"/>
      <c r="J1" s="365"/>
      <c r="K1" s="365"/>
      <c r="L1" s="365"/>
      <c r="M1" s="365"/>
      <c r="N1" s="365"/>
      <c r="O1" s="365"/>
      <c r="P1" s="365"/>
      <c r="Q1" s="365"/>
      <c r="R1" s="365"/>
      <c r="S1" s="365"/>
    </row>
    <row r="2" spans="2:19" ht="18" x14ac:dyDescent="0.4">
      <c r="B2" s="355"/>
      <c r="C2" s="365"/>
      <c r="D2" s="365"/>
      <c r="E2" s="365"/>
      <c r="F2" s="365"/>
      <c r="G2" s="365" t="s">
        <v>234</v>
      </c>
      <c r="H2" s="365"/>
      <c r="I2" s="365"/>
      <c r="J2" s="365"/>
      <c r="K2" s="365"/>
      <c r="L2" s="365"/>
      <c r="M2" s="365"/>
      <c r="N2" s="365"/>
      <c r="O2" s="365"/>
      <c r="P2" s="365"/>
      <c r="Q2" s="365"/>
      <c r="R2" s="365"/>
      <c r="S2" s="365"/>
    </row>
    <row r="3" spans="2:19" ht="134.9" customHeight="1" x14ac:dyDescent="0.3">
      <c r="B3" s="1001"/>
      <c r="C3" s="1001"/>
      <c r="D3" s="1001"/>
      <c r="E3" s="1001"/>
      <c r="F3" s="365"/>
      <c r="G3" s="1002" t="s">
        <v>235</v>
      </c>
      <c r="H3" s="1002"/>
      <c r="I3" s="1002"/>
      <c r="J3" s="1002"/>
      <c r="K3" s="1002"/>
      <c r="L3" s="1002"/>
      <c r="M3" s="1002"/>
      <c r="N3" s="1002"/>
      <c r="O3" s="1002"/>
      <c r="P3" s="1002"/>
      <c r="Q3" s="1002"/>
      <c r="R3" s="1002"/>
      <c r="S3" s="1002"/>
    </row>
    <row r="4" spans="2:19" ht="15.5" x14ac:dyDescent="0.35">
      <c r="B4" s="356"/>
      <c r="C4" s="365"/>
      <c r="D4" s="365"/>
      <c r="E4" s="365"/>
      <c r="F4" s="365"/>
      <c r="G4" s="365"/>
      <c r="H4" s="365"/>
      <c r="I4" s="365"/>
      <c r="J4" s="365"/>
      <c r="K4" s="365"/>
      <c r="L4" s="365"/>
      <c r="M4" s="365"/>
      <c r="N4" s="365"/>
      <c r="O4" s="365"/>
      <c r="P4" s="365"/>
      <c r="Q4" s="365"/>
      <c r="R4" s="365"/>
      <c r="S4" s="365"/>
    </row>
    <row r="5" spans="2:19" ht="14.5" x14ac:dyDescent="0.35">
      <c r="B5" t="s">
        <v>236</v>
      </c>
      <c r="C5"/>
      <c r="D5"/>
      <c r="E5"/>
      <c r="F5"/>
      <c r="G5"/>
      <c r="H5"/>
      <c r="I5"/>
      <c r="J5"/>
      <c r="K5"/>
      <c r="L5"/>
      <c r="M5"/>
      <c r="N5"/>
      <c r="O5"/>
      <c r="P5"/>
      <c r="Q5"/>
      <c r="R5"/>
      <c r="S5"/>
    </row>
    <row r="6" spans="2:19" ht="45" x14ac:dyDescent="0.35">
      <c r="B6" s="602" t="s">
        <v>237</v>
      </c>
      <c r="C6" s="603" t="s">
        <v>220</v>
      </c>
      <c r="D6" s="603" t="s">
        <v>221</v>
      </c>
      <c r="E6" s="604" t="s">
        <v>144</v>
      </c>
      <c r="F6"/>
      <c r="G6"/>
      <c r="H6" s="357" t="s">
        <v>238</v>
      </c>
      <c r="I6" s="357" t="s">
        <v>239</v>
      </c>
      <c r="J6"/>
      <c r="K6"/>
      <c r="L6"/>
      <c r="M6"/>
      <c r="N6"/>
      <c r="O6"/>
      <c r="P6"/>
      <c r="Q6"/>
      <c r="R6"/>
      <c r="S6"/>
    </row>
    <row r="7" spans="2:19" ht="15.5" x14ac:dyDescent="0.35">
      <c r="B7" s="605" t="s">
        <v>139</v>
      </c>
      <c r="C7" s="606"/>
      <c r="D7" s="922">
        <f>'Qtr Electric Master'!M19</f>
        <v>19881.583999999999</v>
      </c>
      <c r="E7" s="923">
        <f>C7/D7</f>
        <v>0</v>
      </c>
      <c r="F7"/>
      <c r="G7" s="318" t="s">
        <v>240</v>
      </c>
      <c r="H7" s="358">
        <f>C10</f>
        <v>0</v>
      </c>
      <c r="I7" s="358">
        <f>C19</f>
        <v>0</v>
      </c>
      <c r="J7" s="338"/>
      <c r="K7"/>
      <c r="L7"/>
      <c r="M7"/>
      <c r="N7"/>
      <c r="O7"/>
      <c r="P7"/>
      <c r="Q7"/>
      <c r="R7"/>
      <c r="S7"/>
    </row>
    <row r="8" spans="2:19" ht="15.5" x14ac:dyDescent="0.35">
      <c r="B8" s="605" t="s">
        <v>49</v>
      </c>
      <c r="C8" s="606"/>
      <c r="D8" s="922">
        <f>'Qtr Electric Master'!M32</f>
        <v>2298.1190000000001</v>
      </c>
      <c r="E8" s="923">
        <f t="shared" ref="E8:E9" si="0">C8/D8</f>
        <v>0</v>
      </c>
      <c r="F8"/>
      <c r="G8" s="318"/>
      <c r="H8" s="317"/>
      <c r="I8" s="359"/>
      <c r="J8"/>
      <c r="K8"/>
      <c r="L8"/>
      <c r="M8"/>
      <c r="N8"/>
      <c r="O8"/>
      <c r="P8"/>
      <c r="Q8"/>
      <c r="R8"/>
      <c r="S8"/>
    </row>
    <row r="9" spans="2:19" ht="15.5" x14ac:dyDescent="0.35">
      <c r="B9" s="605" t="s">
        <v>112</v>
      </c>
      <c r="C9" s="606"/>
      <c r="D9" s="922">
        <f>'Qtr Electric Master'!M26</f>
        <v>37376.025000000001</v>
      </c>
      <c r="E9" s="923">
        <f t="shared" si="0"/>
        <v>0</v>
      </c>
      <c r="F9"/>
      <c r="G9" t="s">
        <v>241</v>
      </c>
      <c r="H9"/>
      <c r="I9"/>
      <c r="J9"/>
      <c r="K9"/>
      <c r="L9"/>
      <c r="M9"/>
      <c r="N9"/>
      <c r="O9"/>
      <c r="P9"/>
      <c r="Q9"/>
      <c r="R9"/>
      <c r="S9"/>
    </row>
    <row r="10" spans="2:19" ht="31" x14ac:dyDescent="0.35">
      <c r="B10" s="607" t="s">
        <v>140</v>
      </c>
      <c r="C10" s="608">
        <f>SUM(C7:C9)</f>
        <v>0</v>
      </c>
      <c r="D10" s="608">
        <f>SUM(D7:D9)</f>
        <v>59555.728000000003</v>
      </c>
      <c r="E10" s="609">
        <f>C10/D10</f>
        <v>0</v>
      </c>
      <c r="F10"/>
      <c r="G10"/>
      <c r="H10"/>
      <c r="I10"/>
      <c r="J10"/>
      <c r="K10"/>
      <c r="L10"/>
      <c r="M10"/>
      <c r="N10"/>
      <c r="O10"/>
      <c r="P10"/>
      <c r="Q10"/>
      <c r="R10"/>
      <c r="S10"/>
    </row>
    <row r="11" spans="2:19" ht="15.5" x14ac:dyDescent="0.35">
      <c r="B11" s="610" t="s">
        <v>131</v>
      </c>
      <c r="C11" s="611"/>
      <c r="D11" s="611">
        <v>0</v>
      </c>
      <c r="E11" s="610"/>
      <c r="F11"/>
      <c r="G11"/>
      <c r="H11"/>
      <c r="I11"/>
      <c r="J11"/>
      <c r="K11"/>
      <c r="L11"/>
      <c r="M11"/>
      <c r="N11"/>
      <c r="O11"/>
      <c r="P11"/>
      <c r="Q11"/>
      <c r="R11"/>
      <c r="S11"/>
    </row>
    <row r="12" spans="2:19" ht="15.5" x14ac:dyDescent="0.35">
      <c r="B12" s="612" t="s">
        <v>141</v>
      </c>
      <c r="C12" s="613">
        <f>C11+C10</f>
        <v>0</v>
      </c>
      <c r="D12" s="613">
        <f>D11+D10</f>
        <v>59555.728000000003</v>
      </c>
      <c r="E12" s="609">
        <f>C12/D12</f>
        <v>0</v>
      </c>
      <c r="F12"/>
      <c r="G12"/>
      <c r="H12"/>
      <c r="I12"/>
      <c r="J12"/>
      <c r="K12"/>
      <c r="L12"/>
      <c r="M12"/>
      <c r="N12"/>
      <c r="O12"/>
      <c r="P12"/>
      <c r="Q12"/>
      <c r="R12"/>
      <c r="S12"/>
    </row>
    <row r="13" spans="2:19" ht="15.5" x14ac:dyDescent="0.35">
      <c r="B13" s="614"/>
      <c r="C13" s="614"/>
      <c r="D13" s="614"/>
      <c r="E13" s="614"/>
      <c r="F13"/>
      <c r="G13"/>
      <c r="H13"/>
      <c r="I13"/>
      <c r="J13"/>
      <c r="K13"/>
      <c r="L13"/>
      <c r="M13"/>
      <c r="N13"/>
      <c r="O13"/>
      <c r="P13"/>
      <c r="Q13"/>
      <c r="R13"/>
      <c r="S13"/>
    </row>
    <row r="14" spans="2:19" ht="15.5" x14ac:dyDescent="0.35">
      <c r="B14" s="614" t="s">
        <v>242</v>
      </c>
      <c r="C14" s="614"/>
      <c r="D14" s="614"/>
      <c r="E14" s="614"/>
      <c r="F14"/>
      <c r="G14"/>
      <c r="H14"/>
      <c r="I14"/>
      <c r="J14"/>
      <c r="K14"/>
      <c r="L14"/>
      <c r="M14"/>
      <c r="N14"/>
      <c r="O14"/>
      <c r="P14"/>
      <c r="Q14"/>
      <c r="R14"/>
      <c r="S14"/>
    </row>
    <row r="15" spans="2:19" ht="46.5" x14ac:dyDescent="0.35">
      <c r="B15" s="615" t="s">
        <v>243</v>
      </c>
      <c r="C15" s="616" t="s">
        <v>220</v>
      </c>
      <c r="D15" s="616" t="s">
        <v>221</v>
      </c>
      <c r="E15" s="617" t="s">
        <v>144</v>
      </c>
      <c r="F15"/>
      <c r="G15"/>
      <c r="H15"/>
      <c r="I15"/>
      <c r="J15"/>
      <c r="K15"/>
      <c r="L15"/>
      <c r="M15"/>
      <c r="N15"/>
      <c r="O15"/>
      <c r="P15"/>
      <c r="Q15"/>
      <c r="R15"/>
      <c r="S15"/>
    </row>
    <row r="16" spans="2:19" ht="15.5" x14ac:dyDescent="0.35">
      <c r="B16" s="605" t="s">
        <v>139</v>
      </c>
      <c r="C16" s="618"/>
      <c r="D16" s="924">
        <f>'Qtr Electric Master'!M19</f>
        <v>19881.583999999999</v>
      </c>
      <c r="E16" s="925">
        <f>C16/D16</f>
        <v>0</v>
      </c>
      <c r="F16"/>
      <c r="G16"/>
      <c r="H16"/>
      <c r="I16"/>
      <c r="J16"/>
      <c r="K16"/>
      <c r="L16"/>
      <c r="M16"/>
      <c r="N16"/>
      <c r="O16"/>
      <c r="P16"/>
      <c r="Q16"/>
      <c r="R16"/>
      <c r="S16"/>
    </row>
    <row r="17" spans="2:19" ht="15.5" x14ac:dyDescent="0.35">
      <c r="B17" s="605" t="s">
        <v>49</v>
      </c>
      <c r="C17" s="618"/>
      <c r="D17" s="924">
        <f>'Qtr Electric Master'!M32</f>
        <v>2298.1190000000001</v>
      </c>
      <c r="E17" s="925">
        <f t="shared" ref="E17:E18" si="1">C17/D17</f>
        <v>0</v>
      </c>
      <c r="F17"/>
      <c r="G17"/>
      <c r="H17" s="365"/>
      <c r="I17" s="365"/>
      <c r="J17" s="365"/>
      <c r="K17" s="365"/>
      <c r="L17" s="365"/>
      <c r="M17" s="365"/>
      <c r="N17" s="365"/>
      <c r="O17" s="365"/>
      <c r="P17" s="365"/>
      <c r="Q17" s="365"/>
      <c r="R17" s="365"/>
      <c r="S17" s="365"/>
    </row>
    <row r="18" spans="2:19" ht="15.5" x14ac:dyDescent="0.35">
      <c r="B18" s="605" t="s">
        <v>112</v>
      </c>
      <c r="C18" s="618"/>
      <c r="D18" s="924">
        <f>'Qtr Electric Master'!M26</f>
        <v>37376.025000000001</v>
      </c>
      <c r="E18" s="925">
        <f t="shared" si="1"/>
        <v>0</v>
      </c>
      <c r="F18"/>
      <c r="G18"/>
      <c r="H18" s="365"/>
      <c r="I18" s="365"/>
      <c r="J18" s="365"/>
      <c r="K18" s="365"/>
      <c r="L18" s="365"/>
      <c r="M18" s="365"/>
      <c r="N18" s="365"/>
      <c r="O18" s="365"/>
      <c r="P18" s="365"/>
      <c r="Q18" s="365"/>
      <c r="R18" s="365"/>
      <c r="S18" s="365"/>
    </row>
    <row r="19" spans="2:19" ht="31" x14ac:dyDescent="0.35">
      <c r="B19" s="607" t="s">
        <v>140</v>
      </c>
      <c r="C19" s="619">
        <f>SUM(C16:C18)</f>
        <v>0</v>
      </c>
      <c r="D19" s="619">
        <f>SUM(D16:D18)</f>
        <v>59555.728000000003</v>
      </c>
      <c r="E19" s="620">
        <f>C19/D19</f>
        <v>0</v>
      </c>
      <c r="F19"/>
      <c r="G19"/>
      <c r="H19" s="365"/>
      <c r="I19" s="365"/>
      <c r="J19" s="365"/>
      <c r="K19" s="365"/>
      <c r="L19" s="365"/>
      <c r="M19" s="365"/>
      <c r="N19" s="365"/>
      <c r="O19" s="365"/>
      <c r="P19" s="365"/>
      <c r="Q19" s="365"/>
      <c r="R19" s="365"/>
      <c r="S19" s="365"/>
    </row>
    <row r="20" spans="2:19" ht="15.5" x14ac:dyDescent="0.35">
      <c r="B20" s="610" t="s">
        <v>131</v>
      </c>
      <c r="C20" s="621"/>
      <c r="D20" s="622">
        <v>0</v>
      </c>
      <c r="E20" s="623"/>
      <c r="F20"/>
      <c r="G20"/>
      <c r="H20" s="365"/>
      <c r="I20" s="365"/>
      <c r="J20" s="365"/>
      <c r="K20" s="365"/>
      <c r="L20" s="365"/>
      <c r="M20" s="365"/>
      <c r="N20" s="365"/>
      <c r="O20" s="365"/>
      <c r="P20" s="365"/>
      <c r="Q20" s="365"/>
      <c r="R20" s="365"/>
      <c r="S20" s="365"/>
    </row>
    <row r="21" spans="2:19" ht="15.5" x14ac:dyDescent="0.35">
      <c r="B21" s="612" t="s">
        <v>141</v>
      </c>
      <c r="C21" s="624">
        <f>C20+C19</f>
        <v>0</v>
      </c>
      <c r="D21" s="624">
        <f>D20+D19</f>
        <v>59555.728000000003</v>
      </c>
      <c r="E21" s="620">
        <f>C21/D21</f>
        <v>0</v>
      </c>
      <c r="F21"/>
      <c r="G21"/>
      <c r="H21" s="365"/>
      <c r="I21" s="365"/>
      <c r="J21" s="365"/>
      <c r="K21" s="365"/>
      <c r="L21" s="365"/>
      <c r="M21" s="365"/>
      <c r="N21" s="365"/>
      <c r="O21" s="365"/>
      <c r="P21" s="365"/>
      <c r="Q21" s="365"/>
      <c r="R21" s="365"/>
      <c r="S21" s="365"/>
    </row>
    <row r="22" spans="2:19" ht="14.5" x14ac:dyDescent="0.35">
      <c r="B22" s="1003" t="s">
        <v>244</v>
      </c>
      <c r="C22" s="1003"/>
      <c r="D22" s="1003"/>
      <c r="E22"/>
      <c r="F22"/>
      <c r="G22" t="s">
        <v>245</v>
      </c>
      <c r="H22" s="365"/>
      <c r="I22" s="365"/>
      <c r="J22" s="365"/>
      <c r="K22" s="365"/>
      <c r="L22" s="365"/>
      <c r="M22" s="365"/>
      <c r="N22" s="365"/>
      <c r="O22" s="365"/>
      <c r="P22" s="365"/>
      <c r="Q22" s="365"/>
      <c r="R22" s="365"/>
      <c r="S22" s="365"/>
    </row>
    <row r="23" spans="2:19" ht="46.5" customHeight="1" x14ac:dyDescent="0.35">
      <c r="B23" s="1003"/>
      <c r="C23" s="1003"/>
      <c r="D23" s="1003"/>
      <c r="E23"/>
      <c r="F23"/>
      <c r="G23"/>
      <c r="H23" s="365"/>
      <c r="I23" s="365"/>
      <c r="J23" s="365"/>
      <c r="K23" s="365"/>
      <c r="L23" s="365"/>
      <c r="M23" s="365"/>
      <c r="N23" s="365"/>
      <c r="O23" s="365"/>
      <c r="P23" s="365"/>
      <c r="Q23" s="365"/>
      <c r="R23" s="365"/>
      <c r="S23" s="365"/>
    </row>
    <row r="24" spans="2:19" ht="14.5" x14ac:dyDescent="0.35">
      <c r="B24" s="360"/>
      <c r="C24" s="361"/>
      <c r="D24" s="361"/>
      <c r="E24" s="361"/>
      <c r="F24"/>
      <c r="G24"/>
      <c r="H24" s="365"/>
      <c r="I24" s="365"/>
      <c r="J24" s="365"/>
      <c r="K24" s="365"/>
      <c r="L24" s="365"/>
      <c r="M24" s="365"/>
      <c r="N24" s="365"/>
      <c r="O24" s="365"/>
      <c r="P24" s="365"/>
      <c r="Q24" s="365"/>
      <c r="R24" s="365"/>
      <c r="S24" s="365"/>
    </row>
    <row r="25" spans="2:19" ht="14.5" x14ac:dyDescent="0.35">
      <c r="B25" s="305"/>
      <c r="C25" s="5"/>
      <c r="D25" s="5"/>
      <c r="E25" s="362"/>
      <c r="F25"/>
      <c r="G25"/>
      <c r="H25" s="365"/>
      <c r="I25" s="365"/>
      <c r="J25" s="365"/>
      <c r="K25" s="365"/>
      <c r="L25" s="365"/>
      <c r="M25" s="365"/>
      <c r="N25" s="365"/>
      <c r="O25" s="365"/>
      <c r="P25" s="365"/>
      <c r="Q25" s="365"/>
      <c r="R25" s="365"/>
      <c r="S25" s="365"/>
    </row>
    <row r="26" spans="2:19" ht="14.5" x14ac:dyDescent="0.35">
      <c r="B26" s="305"/>
      <c r="C26" s="5"/>
      <c r="D26" s="5"/>
      <c r="E26" s="362"/>
      <c r="F26"/>
      <c r="G26"/>
      <c r="H26" s="365"/>
      <c r="I26" s="365"/>
      <c r="J26" s="365"/>
      <c r="K26" s="365"/>
      <c r="L26" s="365"/>
      <c r="M26" s="365"/>
      <c r="N26" s="365"/>
      <c r="O26" s="365"/>
      <c r="P26" s="365"/>
      <c r="Q26" s="365"/>
      <c r="R26" s="365"/>
      <c r="S26" s="365"/>
    </row>
    <row r="27" spans="2:19" ht="14.5" x14ac:dyDescent="0.35">
      <c r="B27" s="305"/>
      <c r="C27" s="5"/>
      <c r="D27" s="5"/>
      <c r="E27" s="362"/>
      <c r="F27"/>
      <c r="G27"/>
      <c r="H27" s="365"/>
      <c r="I27" s="365"/>
      <c r="J27" s="365"/>
      <c r="K27" s="365"/>
      <c r="L27" s="365"/>
      <c r="M27" s="365"/>
      <c r="N27" s="365"/>
      <c r="O27" s="365"/>
      <c r="P27" s="365"/>
      <c r="Q27" s="365"/>
      <c r="R27" s="365"/>
      <c r="S27" s="365"/>
    </row>
    <row r="28" spans="2:19" ht="14.5" x14ac:dyDescent="0.35">
      <c r="B28" s="305"/>
      <c r="C28" s="5"/>
      <c r="D28" s="5"/>
      <c r="E28" s="362"/>
      <c r="F28"/>
      <c r="G28"/>
      <c r="H28" s="365"/>
      <c r="I28" s="365"/>
      <c r="J28" s="365"/>
      <c r="K28" s="365"/>
      <c r="L28" s="365"/>
      <c r="M28" s="365"/>
      <c r="N28" s="365"/>
      <c r="O28" s="365"/>
      <c r="P28" s="365"/>
      <c r="Q28" s="365"/>
      <c r="R28" s="365"/>
      <c r="S28" s="365"/>
    </row>
    <row r="29" spans="2:19" ht="14.5" x14ac:dyDescent="0.35">
      <c r="B29" s="305"/>
      <c r="C29" s="5"/>
      <c r="D29" s="5"/>
      <c r="E29" s="362"/>
      <c r="F29"/>
      <c r="G29"/>
      <c r="H29" s="365"/>
      <c r="I29" s="365"/>
      <c r="J29" s="365"/>
      <c r="K29" s="365"/>
      <c r="L29" s="365"/>
      <c r="M29" s="365"/>
      <c r="N29" s="365"/>
      <c r="O29" s="365"/>
      <c r="P29" s="365"/>
      <c r="Q29" s="365"/>
      <c r="R29" s="365"/>
      <c r="S29" s="365"/>
    </row>
    <row r="30" spans="2:19" ht="14.5" x14ac:dyDescent="0.35">
      <c r="B30" s="305"/>
      <c r="C30" s="5"/>
      <c r="D30" s="5"/>
      <c r="E30" s="362"/>
      <c r="F30"/>
      <c r="G30"/>
      <c r="H30" s="365"/>
      <c r="I30" s="365"/>
      <c r="J30" s="365"/>
      <c r="K30" s="365"/>
      <c r="L30" s="365"/>
      <c r="M30" s="365"/>
      <c r="N30" s="365"/>
      <c r="O30" s="365"/>
      <c r="P30" s="365"/>
      <c r="Q30" s="365"/>
      <c r="R30" s="365"/>
      <c r="S30" s="365"/>
    </row>
    <row r="31" spans="2:19" ht="14.5" x14ac:dyDescent="0.35">
      <c r="B31" s="305"/>
      <c r="C31" s="5"/>
      <c r="D31" s="5"/>
      <c r="E31" s="362"/>
      <c r="F31"/>
      <c r="G31"/>
      <c r="H31" s="365"/>
      <c r="I31" s="365"/>
      <c r="J31" s="365"/>
      <c r="K31" s="365"/>
      <c r="L31" s="365"/>
      <c r="M31" s="365"/>
      <c r="N31" s="365"/>
      <c r="O31" s="365"/>
      <c r="P31" s="365"/>
      <c r="Q31" s="365"/>
      <c r="R31" s="365"/>
      <c r="S31" s="365"/>
    </row>
    <row r="32" spans="2:19" ht="14.5" x14ac:dyDescent="0.35">
      <c r="B32" s="305"/>
      <c r="C32" s="5"/>
      <c r="D32" s="5"/>
      <c r="E32" s="362"/>
      <c r="F32"/>
      <c r="G32"/>
      <c r="H32" s="365"/>
      <c r="I32" s="365"/>
      <c r="J32" s="365"/>
      <c r="K32" s="365"/>
      <c r="L32" s="365"/>
      <c r="M32" s="365"/>
      <c r="N32" s="365"/>
      <c r="O32" s="365"/>
      <c r="P32" s="365"/>
      <c r="Q32" s="365"/>
      <c r="R32" s="365"/>
      <c r="S32" s="365"/>
    </row>
    <row r="33" spans="2:7" ht="14.5" x14ac:dyDescent="0.35">
      <c r="B33" s="305"/>
      <c r="C33" s="5"/>
      <c r="D33" s="5"/>
      <c r="E33" s="362"/>
      <c r="F33" s="365"/>
      <c r="G33" s="365"/>
    </row>
    <row r="34" spans="2:7" ht="14.5" x14ac:dyDescent="0.35">
      <c r="B34"/>
      <c r="C34"/>
      <c r="D34"/>
      <c r="E34"/>
      <c r="F34" s="365"/>
      <c r="G34" s="365"/>
    </row>
    <row r="35" spans="2:7" ht="14.5" x14ac:dyDescent="0.35">
      <c r="B35"/>
      <c r="C35"/>
      <c r="D35"/>
      <c r="E35"/>
      <c r="F35" s="365"/>
      <c r="G35" s="365"/>
    </row>
  </sheetData>
  <mergeCells count="3">
    <mergeCell ref="B3:E3"/>
    <mergeCell ref="G3:S3"/>
    <mergeCell ref="B22:D23"/>
  </mergeCells>
  <pageMargins left="0.45" right="0.45" top="0.75" bottom="0.75" header="0.3" footer="0.3"/>
  <pageSetup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G19"/>
  <sheetViews>
    <sheetView workbookViewId="0"/>
  </sheetViews>
  <sheetFormatPr defaultColWidth="8.453125" defaultRowHeight="14" x14ac:dyDescent="0.3"/>
  <cols>
    <col min="1" max="1" width="4.26953125" style="354" customWidth="1"/>
    <col min="2" max="2" width="29.453125" style="354" customWidth="1"/>
    <col min="3" max="3" width="24" style="354" customWidth="1"/>
    <col min="4" max="4" width="36.453125" style="497" customWidth="1"/>
    <col min="5" max="16384" width="8.453125" style="354"/>
  </cols>
  <sheetData>
    <row r="1" spans="2:7" ht="18" x14ac:dyDescent="0.4">
      <c r="B1" s="355" t="s">
        <v>246</v>
      </c>
      <c r="C1" s="365"/>
      <c r="E1" s="365"/>
      <c r="F1" s="365"/>
      <c r="G1" s="365"/>
    </row>
    <row r="2" spans="2:7" ht="18" x14ac:dyDescent="0.4">
      <c r="B2" s="355"/>
      <c r="C2" s="365"/>
      <c r="E2" s="365"/>
      <c r="F2" s="365"/>
      <c r="G2" s="365"/>
    </row>
    <row r="3" spans="2:7" x14ac:dyDescent="0.3">
      <c r="B3" s="1004" t="s">
        <v>247</v>
      </c>
      <c r="C3" s="1004"/>
      <c r="D3" s="1004"/>
      <c r="E3" s="365"/>
      <c r="F3" s="365"/>
      <c r="G3" s="365"/>
    </row>
    <row r="4" spans="2:7" x14ac:dyDescent="0.3">
      <c r="B4" s="363"/>
      <c r="C4" s="365"/>
      <c r="E4" s="365"/>
      <c r="F4" s="365"/>
      <c r="G4" s="365"/>
    </row>
    <row r="5" spans="2:7" x14ac:dyDescent="0.3">
      <c r="B5" s="1005" t="s">
        <v>248</v>
      </c>
      <c r="C5" s="1006"/>
      <c r="D5" s="1007"/>
      <c r="E5" s="365"/>
      <c r="F5" s="365"/>
      <c r="G5" s="365"/>
    </row>
    <row r="6" spans="2:7" x14ac:dyDescent="0.3">
      <c r="B6" s="509" t="s">
        <v>249</v>
      </c>
      <c r="C6" s="510" t="s">
        <v>250</v>
      </c>
      <c r="D6" s="511" t="s">
        <v>251</v>
      </c>
      <c r="E6" s="365"/>
      <c r="F6" s="365"/>
      <c r="G6" s="365"/>
    </row>
    <row r="7" spans="2:7" ht="32.9" customHeight="1" x14ac:dyDescent="0.3">
      <c r="B7" s="503" t="s">
        <v>252</v>
      </c>
      <c r="C7" s="504"/>
      <c r="D7" s="505"/>
      <c r="E7" s="365"/>
      <c r="F7" s="365"/>
      <c r="G7" s="365"/>
    </row>
    <row r="8" spans="2:7" ht="25.5" customHeight="1" x14ac:dyDescent="0.3">
      <c r="B8" s="503" t="s">
        <v>253</v>
      </c>
      <c r="C8" s="504"/>
      <c r="D8" s="506"/>
      <c r="E8" s="365"/>
      <c r="F8" s="365"/>
      <c r="G8" s="365"/>
    </row>
    <row r="9" spans="2:7" ht="18" customHeight="1" x14ac:dyDescent="0.3">
      <c r="B9" s="503" t="s">
        <v>164</v>
      </c>
      <c r="C9" s="504"/>
      <c r="D9" s="506"/>
      <c r="E9" s="365"/>
      <c r="F9" s="365"/>
      <c r="G9" s="365"/>
    </row>
    <row r="10" spans="2:7" ht="25.5" customHeight="1" x14ac:dyDescent="0.3">
      <c r="B10" s="503" t="s">
        <v>37</v>
      </c>
      <c r="C10" s="504"/>
      <c r="D10" s="506"/>
      <c r="E10" s="365"/>
      <c r="F10" s="365"/>
      <c r="G10" s="365"/>
    </row>
    <row r="11" spans="2:7" ht="18" customHeight="1" x14ac:dyDescent="0.3">
      <c r="B11" s="503" t="s">
        <v>110</v>
      </c>
      <c r="C11" s="504"/>
      <c r="D11" s="506"/>
      <c r="E11" s="365"/>
      <c r="F11" s="365"/>
      <c r="G11" s="365"/>
    </row>
    <row r="12" spans="2:7" ht="18" customHeight="1" x14ac:dyDescent="0.3">
      <c r="B12" s="503" t="s">
        <v>254</v>
      </c>
      <c r="C12" s="504"/>
      <c r="D12" s="506"/>
      <c r="E12" s="365"/>
      <c r="F12" s="365"/>
      <c r="G12" s="365"/>
    </row>
    <row r="13" spans="2:7" ht="19.5" customHeight="1" x14ac:dyDescent="0.3">
      <c r="B13" s="503" t="s">
        <v>255</v>
      </c>
      <c r="C13" s="504"/>
      <c r="D13" s="506"/>
      <c r="E13" s="365"/>
      <c r="F13" s="365"/>
      <c r="G13" s="365"/>
    </row>
    <row r="14" spans="2:7" ht="18" customHeight="1" x14ac:dyDescent="0.3">
      <c r="B14" s="503" t="s">
        <v>256</v>
      </c>
      <c r="C14" s="504"/>
      <c r="D14" s="506"/>
      <c r="E14" s="365"/>
      <c r="F14" s="365"/>
      <c r="G14" s="365"/>
    </row>
    <row r="15" spans="2:7" ht="18" customHeight="1" x14ac:dyDescent="0.3">
      <c r="B15" s="503" t="s">
        <v>257</v>
      </c>
      <c r="C15" s="504"/>
      <c r="D15" s="506"/>
      <c r="E15" s="365"/>
      <c r="F15" s="365"/>
      <c r="G15" s="365"/>
    </row>
    <row r="16" spans="2:7" ht="15.75" customHeight="1" x14ac:dyDescent="0.3">
      <c r="B16" s="507" t="s">
        <v>258</v>
      </c>
      <c r="C16" s="504"/>
      <c r="D16" s="508">
        <f>SUM(D7:D15)</f>
        <v>0</v>
      </c>
      <c r="E16" s="365"/>
      <c r="F16" s="365"/>
      <c r="G16" s="558"/>
    </row>
    <row r="17" spans="2:4" ht="33.75" customHeight="1" x14ac:dyDescent="0.3">
      <c r="B17" s="1008" t="s">
        <v>259</v>
      </c>
      <c r="C17" s="1009"/>
      <c r="D17" s="1009"/>
    </row>
    <row r="18" spans="2:4" x14ac:dyDescent="0.3">
      <c r="B18" s="625"/>
      <c r="C18" s="626"/>
      <c r="D18" s="627"/>
    </row>
    <row r="19" spans="2:4" x14ac:dyDescent="0.3">
      <c r="B19" s="626"/>
      <c r="C19" s="626"/>
      <c r="D19" s="627"/>
    </row>
  </sheetData>
  <mergeCells count="3">
    <mergeCell ref="B3:D3"/>
    <mergeCell ref="B5:D5"/>
    <mergeCell ref="B17:D17"/>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M49"/>
  <sheetViews>
    <sheetView zoomScale="89" zoomScaleNormal="89" workbookViewId="0"/>
  </sheetViews>
  <sheetFormatPr defaultColWidth="8.7265625" defaultRowHeight="14.5" x14ac:dyDescent="0.35"/>
  <cols>
    <col min="1" max="1" width="8.7265625" customWidth="1"/>
    <col min="2" max="2" width="60.7265625" customWidth="1"/>
    <col min="3" max="3" width="12.453125" customWidth="1"/>
    <col min="4" max="4" width="13.7265625" customWidth="1"/>
    <col min="5" max="5" width="10.7265625" customWidth="1"/>
    <col min="6" max="6" width="16.7265625" customWidth="1"/>
    <col min="7" max="7" width="12.453125" customWidth="1"/>
    <col min="8" max="13" width="14.26953125" style="5" customWidth="1"/>
    <col min="14" max="14" width="14.26953125" customWidth="1"/>
  </cols>
  <sheetData>
    <row r="2" spans="1:13" ht="15" thickBot="1" x14ac:dyDescent="0.4">
      <c r="B2" t="s">
        <v>260</v>
      </c>
    </row>
    <row r="3" spans="1:13" ht="43.5" x14ac:dyDescent="0.35">
      <c r="B3" s="631"/>
      <c r="C3" s="340" t="s">
        <v>139</v>
      </c>
      <c r="D3" s="341" t="s">
        <v>261</v>
      </c>
      <c r="E3" s="341" t="s">
        <v>109</v>
      </c>
      <c r="F3" s="341" t="s">
        <v>262</v>
      </c>
      <c r="G3" s="342" t="s">
        <v>263</v>
      </c>
      <c r="H3" s="570" t="s">
        <v>33</v>
      </c>
      <c r="I3" s="571" t="s">
        <v>42</v>
      </c>
      <c r="J3" s="571" t="s">
        <v>44</v>
      </c>
      <c r="K3" s="571" t="s">
        <v>34</v>
      </c>
      <c r="L3" s="571" t="s">
        <v>50</v>
      </c>
      <c r="M3" s="572" t="s">
        <v>110</v>
      </c>
    </row>
    <row r="4" spans="1:13" s="344" customFormat="1" x14ac:dyDescent="0.35">
      <c r="A4" s="343" t="s">
        <v>264</v>
      </c>
      <c r="C4" s="345"/>
      <c r="G4" s="346"/>
      <c r="H4" s="573" t="s">
        <v>265</v>
      </c>
      <c r="I4" s="574" t="s">
        <v>266</v>
      </c>
      <c r="J4" s="574" t="s">
        <v>267</v>
      </c>
      <c r="K4" s="574" t="s">
        <v>268</v>
      </c>
      <c r="L4" s="575"/>
      <c r="M4" s="576"/>
    </row>
    <row r="5" spans="1:13" x14ac:dyDescent="0.35">
      <c r="A5">
        <v>1</v>
      </c>
      <c r="B5" t="s">
        <v>269</v>
      </c>
      <c r="C5" s="597">
        <f>SUM(H5,K5)</f>
        <v>0</v>
      </c>
      <c r="D5" s="366">
        <f>SUM(I5,J5)</f>
        <v>0</v>
      </c>
      <c r="E5" s="366">
        <f>M5</f>
        <v>0</v>
      </c>
      <c r="F5" s="366">
        <f>L5</f>
        <v>0</v>
      </c>
      <c r="G5" s="599">
        <f>SUM(C5:F5)</f>
        <v>0</v>
      </c>
      <c r="H5" s="566">
        <v>0</v>
      </c>
      <c r="I5" s="5">
        <v>0</v>
      </c>
      <c r="J5" s="5">
        <v>0</v>
      </c>
      <c r="K5" s="5">
        <v>0</v>
      </c>
      <c r="L5" s="5">
        <v>0</v>
      </c>
      <c r="M5" s="577">
        <v>0</v>
      </c>
    </row>
    <row r="6" spans="1:13" x14ac:dyDescent="0.35">
      <c r="A6">
        <v>2</v>
      </c>
      <c r="B6" t="s">
        <v>270</v>
      </c>
      <c r="C6" s="597">
        <f t="shared" ref="C6:C17" si="0">SUM(H6,K6)</f>
        <v>0</v>
      </c>
      <c r="D6" s="366">
        <f t="shared" ref="D6:D16" si="1">SUM(I6,J6)</f>
        <v>0</v>
      </c>
      <c r="E6" s="366">
        <f t="shared" ref="E6:E16" si="2">M6</f>
        <v>0</v>
      </c>
      <c r="F6" s="366">
        <f t="shared" ref="F6:F16" si="3">L6</f>
        <v>0</v>
      </c>
      <c r="G6" s="599">
        <f t="shared" ref="G6:G17" si="4">SUM(C6:F6)</f>
        <v>0</v>
      </c>
      <c r="H6" s="566">
        <v>0</v>
      </c>
      <c r="I6" s="5">
        <v>0</v>
      </c>
      <c r="J6" s="5">
        <v>0</v>
      </c>
      <c r="K6" s="5">
        <v>0</v>
      </c>
      <c r="L6" s="5">
        <v>0</v>
      </c>
      <c r="M6" s="577">
        <v>0</v>
      </c>
    </row>
    <row r="7" spans="1:13" x14ac:dyDescent="0.35">
      <c r="A7">
        <v>3</v>
      </c>
      <c r="B7" t="s">
        <v>271</v>
      </c>
      <c r="C7" s="597">
        <f t="shared" si="0"/>
        <v>0</v>
      </c>
      <c r="D7" s="366">
        <f t="shared" si="1"/>
        <v>0</v>
      </c>
      <c r="E7" s="366">
        <f t="shared" si="2"/>
        <v>0</v>
      </c>
      <c r="F7" s="366">
        <f t="shared" si="3"/>
        <v>0</v>
      </c>
      <c r="G7" s="599">
        <f t="shared" si="4"/>
        <v>0</v>
      </c>
      <c r="H7" s="566">
        <v>0</v>
      </c>
      <c r="I7" s="5">
        <v>0</v>
      </c>
      <c r="J7" s="5">
        <v>0</v>
      </c>
      <c r="K7" s="5">
        <v>0</v>
      </c>
      <c r="L7" s="5">
        <v>0</v>
      </c>
      <c r="M7" s="577">
        <v>0</v>
      </c>
    </row>
    <row r="8" spans="1:13" x14ac:dyDescent="0.35">
      <c r="A8">
        <v>4</v>
      </c>
      <c r="B8" t="s">
        <v>272</v>
      </c>
      <c r="C8" s="597">
        <f t="shared" si="0"/>
        <v>4620362.2240590388</v>
      </c>
      <c r="D8" s="366">
        <f t="shared" si="1"/>
        <v>2887663.8155817701</v>
      </c>
      <c r="E8" s="366">
        <f t="shared" si="2"/>
        <v>0</v>
      </c>
      <c r="F8" s="366">
        <f t="shared" si="3"/>
        <v>1377391.3680461801</v>
      </c>
      <c r="G8" s="599">
        <f t="shared" si="4"/>
        <v>8885417.4076869879</v>
      </c>
      <c r="H8" s="566">
        <v>4589880.4820758495</v>
      </c>
      <c r="I8" s="5">
        <v>0</v>
      </c>
      <c r="J8" s="5">
        <v>2887663.8155817701</v>
      </c>
      <c r="K8" s="5">
        <v>30481.7419831888</v>
      </c>
      <c r="L8" s="5">
        <v>1377391.3680461801</v>
      </c>
      <c r="M8" s="577">
        <v>0</v>
      </c>
    </row>
    <row r="9" spans="1:13" x14ac:dyDescent="0.35">
      <c r="A9">
        <v>5</v>
      </c>
      <c r="B9" t="s">
        <v>273</v>
      </c>
      <c r="C9" s="597">
        <f t="shared" si="0"/>
        <v>601784.26675324503</v>
      </c>
      <c r="D9" s="366">
        <f t="shared" si="1"/>
        <v>611490.45566773799</v>
      </c>
      <c r="E9" s="366">
        <f t="shared" si="2"/>
        <v>0</v>
      </c>
      <c r="F9" s="366">
        <f t="shared" si="3"/>
        <v>363723.02724164998</v>
      </c>
      <c r="G9" s="599">
        <f t="shared" si="4"/>
        <v>1576997.7496626331</v>
      </c>
      <c r="H9" s="566">
        <v>600535.31765057298</v>
      </c>
      <c r="I9" s="5">
        <v>0</v>
      </c>
      <c r="J9" s="5">
        <v>611490.45566773799</v>
      </c>
      <c r="K9" s="5">
        <v>1248.94910267209</v>
      </c>
      <c r="L9" s="5">
        <v>363723.02724164998</v>
      </c>
      <c r="M9" s="577">
        <v>0</v>
      </c>
    </row>
    <row r="10" spans="1:13" x14ac:dyDescent="0.35">
      <c r="A10">
        <v>6</v>
      </c>
      <c r="B10" t="s">
        <v>274</v>
      </c>
      <c r="C10" s="597">
        <f t="shared" si="0"/>
        <v>-217837.812945135</v>
      </c>
      <c r="D10" s="366">
        <f t="shared" si="1"/>
        <v>-77179.924581405299</v>
      </c>
      <c r="E10" s="366">
        <f t="shared" si="2"/>
        <v>0</v>
      </c>
      <c r="F10" s="366">
        <f t="shared" si="3"/>
        <v>0</v>
      </c>
      <c r="G10" s="599">
        <f t="shared" si="4"/>
        <v>-295017.7375265403</v>
      </c>
      <c r="H10" s="566">
        <v>-217837.812945135</v>
      </c>
      <c r="I10" s="5">
        <v>0</v>
      </c>
      <c r="J10" s="5">
        <v>-77179.924581405299</v>
      </c>
      <c r="K10" s="5">
        <v>0</v>
      </c>
      <c r="L10" s="5">
        <v>0</v>
      </c>
      <c r="M10" s="577">
        <v>0</v>
      </c>
    </row>
    <row r="11" spans="1:13" x14ac:dyDescent="0.35">
      <c r="A11">
        <v>7</v>
      </c>
      <c r="B11" t="s">
        <v>275</v>
      </c>
      <c r="C11" s="597">
        <f t="shared" si="0"/>
        <v>0</v>
      </c>
      <c r="D11" s="366">
        <f t="shared" si="1"/>
        <v>0</v>
      </c>
      <c r="E11" s="366">
        <f t="shared" si="2"/>
        <v>0</v>
      </c>
      <c r="F11" s="366">
        <f t="shared" si="3"/>
        <v>0</v>
      </c>
      <c r="G11" s="599">
        <f t="shared" si="4"/>
        <v>0</v>
      </c>
      <c r="H11" s="566">
        <v>0</v>
      </c>
      <c r="I11" s="5">
        <v>0</v>
      </c>
      <c r="J11" s="5">
        <v>0</v>
      </c>
      <c r="K11" s="5">
        <v>0</v>
      </c>
      <c r="L11" s="5">
        <v>0</v>
      </c>
      <c r="M11" s="577">
        <v>0</v>
      </c>
    </row>
    <row r="12" spans="1:13" x14ac:dyDescent="0.35">
      <c r="A12">
        <v>8</v>
      </c>
      <c r="B12" t="s">
        <v>276</v>
      </c>
      <c r="C12" s="597">
        <f t="shared" si="0"/>
        <v>0</v>
      </c>
      <c r="D12" s="366">
        <f t="shared" si="1"/>
        <v>0</v>
      </c>
      <c r="E12" s="366">
        <f t="shared" si="2"/>
        <v>0</v>
      </c>
      <c r="F12" s="366">
        <f t="shared" si="3"/>
        <v>0</v>
      </c>
      <c r="G12" s="599">
        <f t="shared" si="4"/>
        <v>0</v>
      </c>
      <c r="H12" s="566">
        <v>0</v>
      </c>
      <c r="I12" s="5">
        <v>0</v>
      </c>
      <c r="J12" s="5">
        <v>0</v>
      </c>
      <c r="K12" s="5">
        <v>0</v>
      </c>
      <c r="L12" s="5">
        <v>0</v>
      </c>
      <c r="M12" s="577">
        <v>0</v>
      </c>
    </row>
    <row r="13" spans="1:13" x14ac:dyDescent="0.35">
      <c r="B13" s="349" t="s">
        <v>277</v>
      </c>
      <c r="C13" s="578">
        <f>SUM(C5:C12)</f>
        <v>5004308.677867149</v>
      </c>
      <c r="D13" s="578">
        <f t="shared" ref="D13:G13" si="5">SUM(D5:D12)</f>
        <v>3421974.3466681028</v>
      </c>
      <c r="E13" s="578">
        <f t="shared" si="5"/>
        <v>0</v>
      </c>
      <c r="F13" s="578">
        <f t="shared" si="5"/>
        <v>1741114.3952878301</v>
      </c>
      <c r="G13" s="578">
        <f t="shared" si="5"/>
        <v>10167397.41982308</v>
      </c>
      <c r="H13" s="578">
        <f>SUM(H5:H12)</f>
        <v>4972577.9867812879</v>
      </c>
      <c r="I13" s="578">
        <f t="shared" ref="I13:M13" si="6">SUM(I5:I12)</f>
        <v>0</v>
      </c>
      <c r="J13" s="578">
        <f t="shared" si="6"/>
        <v>3421974.3466681028</v>
      </c>
      <c r="K13" s="578">
        <f t="shared" si="6"/>
        <v>31730.69108586089</v>
      </c>
      <c r="L13" s="578">
        <f t="shared" si="6"/>
        <v>1741114.3952878301</v>
      </c>
      <c r="M13" s="578">
        <f t="shared" si="6"/>
        <v>0</v>
      </c>
    </row>
    <row r="14" spans="1:13" x14ac:dyDescent="0.35">
      <c r="A14">
        <v>9</v>
      </c>
      <c r="B14" t="s">
        <v>278</v>
      </c>
      <c r="C14" s="597">
        <f t="shared" si="0"/>
        <v>3539264.7469773497</v>
      </c>
      <c r="D14" s="366">
        <f t="shared" si="1"/>
        <v>3769886.8480523201</v>
      </c>
      <c r="E14" s="366">
        <f t="shared" si="2"/>
        <v>156798.84122594999</v>
      </c>
      <c r="F14" s="366">
        <f t="shared" si="3"/>
        <v>496107.19</v>
      </c>
      <c r="G14" s="599">
        <f t="shared" si="4"/>
        <v>7962057.6262556203</v>
      </c>
      <c r="H14" s="566">
        <v>2089271.0845550101</v>
      </c>
      <c r="I14" s="5">
        <v>1454790.82744243</v>
      </c>
      <c r="J14" s="5">
        <v>2315096.0206098901</v>
      </c>
      <c r="K14" s="5">
        <v>1449993.6624223399</v>
      </c>
      <c r="L14" s="5">
        <v>496107.19</v>
      </c>
      <c r="M14" s="577">
        <v>156798.84122594999</v>
      </c>
    </row>
    <row r="15" spans="1:13" x14ac:dyDescent="0.35">
      <c r="A15">
        <v>10</v>
      </c>
      <c r="B15" t="s">
        <v>279</v>
      </c>
      <c r="C15" s="597">
        <f t="shared" si="0"/>
        <v>1318036.0664976579</v>
      </c>
      <c r="D15" s="366">
        <f t="shared" si="1"/>
        <v>2455480.08</v>
      </c>
      <c r="E15" s="366">
        <f t="shared" si="2"/>
        <v>0</v>
      </c>
      <c r="F15" s="366">
        <f t="shared" si="3"/>
        <v>254445.81</v>
      </c>
      <c r="G15" s="599">
        <f t="shared" si="4"/>
        <v>4027961.956497658</v>
      </c>
      <c r="H15" s="566">
        <v>1225016.5375000001</v>
      </c>
      <c r="I15" s="5">
        <v>0</v>
      </c>
      <c r="J15" s="5">
        <v>2455480.08</v>
      </c>
      <c r="K15" s="5">
        <v>93019.528997657704</v>
      </c>
      <c r="L15" s="5">
        <v>254445.81</v>
      </c>
      <c r="M15" s="577">
        <v>0</v>
      </c>
    </row>
    <row r="16" spans="1:13" x14ac:dyDescent="0.35">
      <c r="A16">
        <v>11</v>
      </c>
      <c r="B16" t="s">
        <v>280</v>
      </c>
      <c r="C16" s="597">
        <f t="shared" si="0"/>
        <v>880375.32783382863</v>
      </c>
      <c r="D16" s="366">
        <f t="shared" si="1"/>
        <v>1210927.73</v>
      </c>
      <c r="E16" s="366">
        <f t="shared" si="2"/>
        <v>0</v>
      </c>
      <c r="F16" s="366">
        <f t="shared" si="3"/>
        <v>254445.81</v>
      </c>
      <c r="G16" s="599">
        <f t="shared" si="4"/>
        <v>2345748.8678338286</v>
      </c>
      <c r="H16" s="566">
        <v>826683.59025617095</v>
      </c>
      <c r="I16" s="5">
        <v>0</v>
      </c>
      <c r="J16" s="5">
        <v>1210927.73</v>
      </c>
      <c r="K16" s="5">
        <v>53691.737577657703</v>
      </c>
      <c r="L16" s="5">
        <v>254445.81</v>
      </c>
      <c r="M16" s="577">
        <v>0</v>
      </c>
    </row>
    <row r="17" spans="1:13" x14ac:dyDescent="0.35">
      <c r="B17" t="s">
        <v>281</v>
      </c>
      <c r="C17" s="597">
        <f t="shared" si="0"/>
        <v>4857300.8134750072</v>
      </c>
      <c r="D17" s="566">
        <f t="shared" ref="D17:F17" si="7">SUM(D14:D15)</f>
        <v>6225366.9280523201</v>
      </c>
      <c r="E17" s="566">
        <f t="shared" si="7"/>
        <v>156798.84122594999</v>
      </c>
      <c r="F17" s="566">
        <f t="shared" si="7"/>
        <v>750553</v>
      </c>
      <c r="G17" s="599">
        <f t="shared" si="4"/>
        <v>11990019.582753276</v>
      </c>
      <c r="H17" s="566">
        <f>SUM(H14:H15)</f>
        <v>3314287.6220550099</v>
      </c>
      <c r="I17" s="566">
        <f t="shared" ref="I17:M17" si="8">SUM(I14:I15)</f>
        <v>1454790.82744243</v>
      </c>
      <c r="J17" s="566">
        <f t="shared" si="8"/>
        <v>4770576.1006098902</v>
      </c>
      <c r="K17" s="566">
        <f t="shared" si="8"/>
        <v>1543013.1914199977</v>
      </c>
      <c r="L17" s="566">
        <f t="shared" si="8"/>
        <v>750553</v>
      </c>
      <c r="M17" s="594">
        <f t="shared" si="8"/>
        <v>156798.84122594999</v>
      </c>
    </row>
    <row r="18" spans="1:13" x14ac:dyDescent="0.35">
      <c r="B18" s="349" t="s">
        <v>282</v>
      </c>
      <c r="C18" s="568">
        <f>IFERROR(C13/C17,0)</f>
        <v>1.0302653407802778</v>
      </c>
      <c r="D18" s="568">
        <f t="shared" ref="D18:F18" si="9">IFERROR(D13/D17,0)</f>
        <v>0.54968235386226594</v>
      </c>
      <c r="E18" s="568">
        <f t="shared" si="9"/>
        <v>0</v>
      </c>
      <c r="F18" s="568">
        <f t="shared" si="9"/>
        <v>2.3197754126461825</v>
      </c>
      <c r="G18" s="568">
        <f t="shared" ref="G18" si="10">G13/G17</f>
        <v>0.8479883914825378</v>
      </c>
      <c r="H18" s="568">
        <f>H13/H17</f>
        <v>1.5003459427272223</v>
      </c>
      <c r="I18" s="568">
        <f t="shared" ref="I18:M18" si="11">I13/I17</f>
        <v>0</v>
      </c>
      <c r="J18" s="568">
        <f t="shared" si="11"/>
        <v>0.71730840772682014</v>
      </c>
      <c r="K18" s="568">
        <f t="shared" si="11"/>
        <v>2.056410875960166E-2</v>
      </c>
      <c r="L18" s="568">
        <f t="shared" si="11"/>
        <v>2.3197754126461825</v>
      </c>
      <c r="M18" s="595">
        <f t="shared" si="11"/>
        <v>0</v>
      </c>
    </row>
    <row r="19" spans="1:13" x14ac:dyDescent="0.35">
      <c r="C19" s="347"/>
      <c r="G19" s="348"/>
      <c r="H19" s="566"/>
      <c r="M19" s="577"/>
    </row>
    <row r="20" spans="1:13" s="344" customFormat="1" x14ac:dyDescent="0.35">
      <c r="A20" s="343" t="s">
        <v>283</v>
      </c>
      <c r="C20" s="345"/>
      <c r="G20" s="346"/>
      <c r="H20" s="579"/>
      <c r="I20" s="575"/>
      <c r="J20" s="575"/>
      <c r="K20" s="575"/>
      <c r="L20" s="575"/>
      <c r="M20" s="576"/>
    </row>
    <row r="21" spans="1:13" x14ac:dyDescent="0.35">
      <c r="A21">
        <v>12</v>
      </c>
      <c r="B21" t="s">
        <v>284</v>
      </c>
      <c r="C21" s="597">
        <f t="shared" ref="C21:C22" si="12">SUM(H21,K21)</f>
        <v>17811851.25247582</v>
      </c>
      <c r="D21" s="366">
        <f t="shared" ref="D21:D22" si="13">SUM(I21,J21)</f>
        <v>9340445.612590095</v>
      </c>
      <c r="E21" s="366">
        <f t="shared" ref="E21:E22" si="14">M21</f>
        <v>0</v>
      </c>
      <c r="F21" s="366">
        <f t="shared" ref="F21:F22" si="15">L21</f>
        <v>5614859.2995833913</v>
      </c>
      <c r="G21" s="599">
        <f t="shared" ref="G21:G22" si="16">SUM(C21:F21)</f>
        <v>32767156.164649308</v>
      </c>
      <c r="H21" s="566">
        <v>17639029.582750607</v>
      </c>
      <c r="I21" s="5">
        <v>0</v>
      </c>
      <c r="J21" s="5">
        <v>9340445.612590095</v>
      </c>
      <c r="K21" s="5">
        <v>172821.66972521271</v>
      </c>
      <c r="L21" s="5">
        <v>5614859.2995833913</v>
      </c>
      <c r="M21" s="577">
        <v>0</v>
      </c>
    </row>
    <row r="22" spans="1:13" x14ac:dyDescent="0.35">
      <c r="A22">
        <v>13</v>
      </c>
      <c r="B22" t="s">
        <v>285</v>
      </c>
      <c r="C22" s="597">
        <f t="shared" si="12"/>
        <v>1318036.0664976579</v>
      </c>
      <c r="D22" s="366">
        <f t="shared" si="13"/>
        <v>2455480.08</v>
      </c>
      <c r="E22" s="366">
        <f t="shared" si="14"/>
        <v>0</v>
      </c>
      <c r="F22" s="366">
        <f t="shared" si="15"/>
        <v>220878.44000000099</v>
      </c>
      <c r="G22" s="599">
        <f t="shared" si="16"/>
        <v>3994394.5864976589</v>
      </c>
      <c r="H22" s="566">
        <v>1225016.5375000001</v>
      </c>
      <c r="I22" s="5">
        <v>0</v>
      </c>
      <c r="J22" s="5">
        <v>2455480.08</v>
      </c>
      <c r="K22" s="5">
        <v>93019.528997657704</v>
      </c>
      <c r="L22" s="5">
        <v>220878.44000000099</v>
      </c>
      <c r="M22" s="577"/>
    </row>
    <row r="23" spans="1:13" x14ac:dyDescent="0.35">
      <c r="B23" s="350" t="s">
        <v>286</v>
      </c>
      <c r="C23" s="568">
        <f>IFERROR(C21/C22,0)</f>
        <v>13.513933120059633</v>
      </c>
      <c r="D23" s="568">
        <f t="shared" ref="D23:F23" si="17">IFERROR(D21/D22,0)</f>
        <v>3.8039183004042512</v>
      </c>
      <c r="E23" s="568">
        <f t="shared" si="17"/>
        <v>0</v>
      </c>
      <c r="F23" s="568">
        <f t="shared" si="17"/>
        <v>25.420585637889175</v>
      </c>
      <c r="G23" s="568">
        <f t="shared" ref="G23" si="18">G21/G22</f>
        <v>8.2032847419263124</v>
      </c>
      <c r="H23" s="568">
        <f>H21/H22</f>
        <v>14.39901343597217</v>
      </c>
      <c r="I23" s="568">
        <f>IFERROR(I21/I22,0)</f>
        <v>0</v>
      </c>
      <c r="J23" s="568">
        <f t="shared" ref="J23:L23" si="19">J21/J22</f>
        <v>3.8039183004042512</v>
      </c>
      <c r="K23" s="568">
        <f t="shared" si="19"/>
        <v>1.8579073834007962</v>
      </c>
      <c r="L23" s="568">
        <f t="shared" si="19"/>
        <v>25.420585637889175</v>
      </c>
      <c r="M23" s="568">
        <f>IFERROR(M21/M22,0)</f>
        <v>0</v>
      </c>
    </row>
    <row r="24" spans="1:13" x14ac:dyDescent="0.35">
      <c r="C24" s="347"/>
      <c r="G24" s="348"/>
      <c r="H24" s="566"/>
      <c r="M24" s="577"/>
    </row>
    <row r="25" spans="1:13" s="344" customFormat="1" x14ac:dyDescent="0.35">
      <c r="A25" s="343" t="s">
        <v>287</v>
      </c>
      <c r="C25" s="345"/>
      <c r="G25" s="346"/>
      <c r="H25" s="579"/>
      <c r="I25" s="575"/>
      <c r="J25" s="575"/>
      <c r="K25" s="575"/>
      <c r="L25" s="575"/>
      <c r="M25" s="576"/>
    </row>
    <row r="26" spans="1:13" x14ac:dyDescent="0.35">
      <c r="B26" s="350" t="s">
        <v>288</v>
      </c>
      <c r="C26" s="568">
        <f>IFERROR(C13/(C14+C16),0)</f>
        <v>1.1322887369014885</v>
      </c>
      <c r="D26" s="568">
        <f t="shared" ref="D26:F26" si="20">IFERROR(D13/(D14+D16),0)</f>
        <v>0.6870310655102162</v>
      </c>
      <c r="E26" s="568">
        <f t="shared" si="20"/>
        <v>0</v>
      </c>
      <c r="F26" s="568">
        <f t="shared" si="20"/>
        <v>2.3197754126461825</v>
      </c>
      <c r="G26" s="568">
        <f t="shared" ref="G26" si="21">G13/(G14+G16)</f>
        <v>0.98637837503576731</v>
      </c>
      <c r="H26" s="568">
        <f>H13/(H14+H16)</f>
        <v>1.7053001645518653</v>
      </c>
      <c r="I26" s="568">
        <f t="shared" ref="I26:M26" si="22">I13/(I14+I16)</f>
        <v>0</v>
      </c>
      <c r="J26" s="568">
        <f t="shared" si="22"/>
        <v>0.97049100876765504</v>
      </c>
      <c r="K26" s="568">
        <f t="shared" si="22"/>
        <v>2.1101947977855567E-2</v>
      </c>
      <c r="L26" s="568">
        <f t="shared" si="22"/>
        <v>2.3197754126461825</v>
      </c>
      <c r="M26" s="568">
        <f t="shared" si="22"/>
        <v>0</v>
      </c>
    </row>
    <row r="27" spans="1:13" x14ac:dyDescent="0.35">
      <c r="C27" s="347"/>
      <c r="G27" s="348"/>
      <c r="H27" s="566"/>
      <c r="M27" s="577"/>
    </row>
    <row r="28" spans="1:13" s="344" customFormat="1" x14ac:dyDescent="0.35">
      <c r="A28" s="343" t="s">
        <v>289</v>
      </c>
      <c r="C28" s="345"/>
      <c r="G28" s="346"/>
      <c r="H28" s="579"/>
      <c r="I28" s="575"/>
      <c r="J28" s="575"/>
      <c r="K28" s="575"/>
      <c r="L28" s="575"/>
      <c r="M28" s="576"/>
    </row>
    <row r="29" spans="1:13" x14ac:dyDescent="0.35">
      <c r="A29">
        <v>14</v>
      </c>
      <c r="B29" t="s">
        <v>290</v>
      </c>
      <c r="C29" s="597">
        <f t="shared" ref="C29:C30" si="23">SUM(H29,K29)</f>
        <v>5004308.677867149</v>
      </c>
      <c r="D29" s="366">
        <f t="shared" ref="D29:D30" si="24">SUM(I29,J29)</f>
        <v>3421974.3466681028</v>
      </c>
      <c r="E29" s="366">
        <f t="shared" ref="E29:E30" si="25">M29</f>
        <v>0</v>
      </c>
      <c r="F29" s="366">
        <f t="shared" ref="F29:F30" si="26">L29</f>
        <v>1741114.3952878301</v>
      </c>
      <c r="G29" s="599">
        <f t="shared" ref="G29:G30" si="27">SUM(C29:F29)</f>
        <v>10167397.419823082</v>
      </c>
      <c r="H29" s="5">
        <f>H13</f>
        <v>4972577.9867812879</v>
      </c>
      <c r="I29" s="5">
        <f t="shared" ref="I29:M29" si="28">I13</f>
        <v>0</v>
      </c>
      <c r="J29" s="5">
        <f t="shared" si="28"/>
        <v>3421974.3466681028</v>
      </c>
      <c r="K29" s="5">
        <f t="shared" si="28"/>
        <v>31730.69108586089</v>
      </c>
      <c r="L29" s="5">
        <f t="shared" si="28"/>
        <v>1741114.3952878301</v>
      </c>
      <c r="M29" s="596">
        <f t="shared" si="28"/>
        <v>0</v>
      </c>
    </row>
    <row r="30" spans="1:13" x14ac:dyDescent="0.35">
      <c r="A30">
        <v>15</v>
      </c>
      <c r="B30" t="s">
        <v>291</v>
      </c>
      <c r="C30" s="597">
        <f t="shared" si="23"/>
        <v>21351115.999453172</v>
      </c>
      <c r="D30" s="366">
        <f t="shared" si="24"/>
        <v>13110332.460642416</v>
      </c>
      <c r="E30" s="366">
        <f t="shared" si="25"/>
        <v>156798.84122594999</v>
      </c>
      <c r="F30" s="366">
        <f t="shared" si="26"/>
        <v>6144533.8595833899</v>
      </c>
      <c r="G30" s="599">
        <f t="shared" si="27"/>
        <v>40762781.160904929</v>
      </c>
      <c r="H30" s="566">
        <v>19728300.667305619</v>
      </c>
      <c r="I30" s="5">
        <v>1454790.82744243</v>
      </c>
      <c r="J30" s="5">
        <v>11655541.633199986</v>
      </c>
      <c r="K30" s="5">
        <v>1622815.3321475526</v>
      </c>
      <c r="L30" s="5">
        <v>6144533.8595833899</v>
      </c>
      <c r="M30" s="577">
        <v>156798.84122594999</v>
      </c>
    </row>
    <row r="31" spans="1:13" x14ac:dyDescent="0.35">
      <c r="B31" s="350" t="s">
        <v>292</v>
      </c>
      <c r="C31" s="568">
        <f>IFERROR(C29/C30,0)</f>
        <v>0.23438159757060545</v>
      </c>
      <c r="D31" s="568">
        <f t="shared" ref="D31:F31" si="29">IFERROR(D29/D30,0)</f>
        <v>0.26101354461764914</v>
      </c>
      <c r="E31" s="568">
        <f t="shared" si="29"/>
        <v>0</v>
      </c>
      <c r="F31" s="568">
        <f t="shared" si="29"/>
        <v>0.28335988295878328</v>
      </c>
      <c r="G31" s="568">
        <f t="shared" ref="G31" si="30">G29/G30</f>
        <v>0.24942845238377662</v>
      </c>
      <c r="H31" s="568">
        <f>H29/H30</f>
        <v>0.25205303136027352</v>
      </c>
      <c r="I31" s="568">
        <f t="shared" ref="I31:M31" si="31">I29/I30</f>
        <v>0</v>
      </c>
      <c r="J31" s="568">
        <f t="shared" si="31"/>
        <v>0.29359204868874139</v>
      </c>
      <c r="K31" s="568">
        <f t="shared" si="31"/>
        <v>1.9552866217914074E-2</v>
      </c>
      <c r="L31" s="568">
        <f t="shared" si="31"/>
        <v>0.28335988295878328</v>
      </c>
      <c r="M31" s="568">
        <f t="shared" si="31"/>
        <v>0</v>
      </c>
    </row>
    <row r="32" spans="1:13" x14ac:dyDescent="0.35">
      <c r="C32" s="347"/>
      <c r="G32" s="348"/>
      <c r="H32" s="566"/>
      <c r="M32" s="577"/>
    </row>
    <row r="33" spans="1:13" s="344" customFormat="1" x14ac:dyDescent="0.35">
      <c r="A33" s="343" t="s">
        <v>293</v>
      </c>
      <c r="C33" s="345"/>
      <c r="G33" s="346"/>
      <c r="H33" s="579"/>
      <c r="I33" s="575"/>
      <c r="J33" s="575"/>
      <c r="K33" s="575"/>
      <c r="L33" s="575"/>
      <c r="M33" s="576"/>
    </row>
    <row r="34" spans="1:13" x14ac:dyDescent="0.35">
      <c r="A34">
        <v>16</v>
      </c>
      <c r="B34" t="s">
        <v>269</v>
      </c>
      <c r="C34" s="597">
        <f t="shared" ref="C34:C42" si="32">SUM(H34,K34)</f>
        <v>0</v>
      </c>
      <c r="D34" s="366">
        <f t="shared" ref="D34:D42" si="33">SUM(I34,J34)</f>
        <v>0</v>
      </c>
      <c r="E34" s="366">
        <f t="shared" ref="E34:E47" si="34">M34</f>
        <v>0</v>
      </c>
      <c r="F34" s="366">
        <f t="shared" ref="F34:F42" si="35">L34</f>
        <v>0</v>
      </c>
      <c r="G34" s="599">
        <f t="shared" ref="G34:G44" si="36">SUM(C34:F34)</f>
        <v>0</v>
      </c>
      <c r="H34" s="566">
        <v>0</v>
      </c>
      <c r="I34" s="5">
        <v>0</v>
      </c>
      <c r="J34" s="5">
        <v>0</v>
      </c>
      <c r="K34" s="5">
        <v>0</v>
      </c>
      <c r="L34" s="5">
        <v>0</v>
      </c>
      <c r="M34" s="577">
        <v>0</v>
      </c>
    </row>
    <row r="35" spans="1:13" x14ac:dyDescent="0.35">
      <c r="A35">
        <v>17</v>
      </c>
      <c r="B35" t="s">
        <v>270</v>
      </c>
      <c r="C35" s="597">
        <f t="shared" si="32"/>
        <v>0</v>
      </c>
      <c r="D35" s="366">
        <f t="shared" si="33"/>
        <v>0</v>
      </c>
      <c r="E35" s="366">
        <f t="shared" si="34"/>
        <v>0</v>
      </c>
      <c r="F35" s="366">
        <f t="shared" si="35"/>
        <v>0</v>
      </c>
      <c r="G35" s="599">
        <f t="shared" si="36"/>
        <v>0</v>
      </c>
      <c r="H35" s="566">
        <v>0</v>
      </c>
      <c r="I35" s="5">
        <v>0</v>
      </c>
      <c r="J35" s="5">
        <v>0</v>
      </c>
      <c r="K35" s="5">
        <v>0</v>
      </c>
      <c r="L35" s="5">
        <v>0</v>
      </c>
      <c r="M35" s="577">
        <v>0</v>
      </c>
    </row>
    <row r="36" spans="1:13" x14ac:dyDescent="0.35">
      <c r="A36">
        <v>18</v>
      </c>
      <c r="B36" t="s">
        <v>271</v>
      </c>
      <c r="C36" s="597">
        <f t="shared" si="32"/>
        <v>0</v>
      </c>
      <c r="D36" s="366">
        <f t="shared" si="33"/>
        <v>0</v>
      </c>
      <c r="E36" s="366">
        <f t="shared" si="34"/>
        <v>0</v>
      </c>
      <c r="F36" s="366">
        <f t="shared" si="35"/>
        <v>0</v>
      </c>
      <c r="G36" s="599">
        <f t="shared" si="36"/>
        <v>0</v>
      </c>
      <c r="H36" s="566">
        <v>0</v>
      </c>
      <c r="I36" s="5">
        <v>0</v>
      </c>
      <c r="J36" s="5">
        <v>0</v>
      </c>
      <c r="K36" s="5">
        <v>0</v>
      </c>
      <c r="L36" s="5">
        <v>0</v>
      </c>
      <c r="M36" s="577">
        <v>0</v>
      </c>
    </row>
    <row r="37" spans="1:13" x14ac:dyDescent="0.35">
      <c r="A37">
        <v>19</v>
      </c>
      <c r="B37" t="s">
        <v>272</v>
      </c>
      <c r="C37" s="597">
        <f t="shared" si="32"/>
        <v>13563445.223893972</v>
      </c>
      <c r="D37" s="366">
        <f t="shared" si="33"/>
        <v>6767899.6922856104</v>
      </c>
      <c r="E37" s="366">
        <f t="shared" si="34"/>
        <v>0</v>
      </c>
      <c r="F37" s="366">
        <f t="shared" si="35"/>
        <v>3840063.98022677</v>
      </c>
      <c r="G37" s="599">
        <f t="shared" si="36"/>
        <v>24171408.896406353</v>
      </c>
      <c r="H37" s="566">
        <v>13468856.445981899</v>
      </c>
      <c r="I37" s="5">
        <v>0</v>
      </c>
      <c r="J37" s="5">
        <v>6767899.6922856104</v>
      </c>
      <c r="K37" s="5">
        <v>94588.777912072896</v>
      </c>
      <c r="L37" s="5">
        <v>3840063.98022677</v>
      </c>
      <c r="M37" s="577">
        <v>0</v>
      </c>
    </row>
    <row r="38" spans="1:13" x14ac:dyDescent="0.35">
      <c r="A38">
        <v>20</v>
      </c>
      <c r="B38" t="s">
        <v>273</v>
      </c>
      <c r="C38" s="597">
        <f t="shared" si="32"/>
        <v>652197.48074267874</v>
      </c>
      <c r="D38" s="366">
        <f t="shared" si="33"/>
        <v>744953.91201664403</v>
      </c>
      <c r="E38" s="366">
        <f t="shared" si="34"/>
        <v>0</v>
      </c>
      <c r="F38" s="366">
        <f t="shared" si="35"/>
        <v>347832.20284424</v>
      </c>
      <c r="G38" s="599">
        <f t="shared" si="36"/>
        <v>1744983.5956035627</v>
      </c>
      <c r="H38" s="566">
        <v>650889.39760471601</v>
      </c>
      <c r="I38" s="5">
        <v>0</v>
      </c>
      <c r="J38" s="5">
        <v>744953.91201664403</v>
      </c>
      <c r="K38" s="5">
        <v>1308.08313796274</v>
      </c>
      <c r="L38" s="5">
        <v>347832.20284424</v>
      </c>
      <c r="M38" s="577">
        <v>0</v>
      </c>
    </row>
    <row r="39" spans="1:13" x14ac:dyDescent="0.35">
      <c r="A39">
        <v>21</v>
      </c>
      <c r="B39" t="s">
        <v>274</v>
      </c>
      <c r="C39" s="597">
        <f t="shared" si="32"/>
        <v>-898485.14716465306</v>
      </c>
      <c r="D39" s="366">
        <f t="shared" si="33"/>
        <v>-226054.120764769</v>
      </c>
      <c r="E39" s="366">
        <f t="shared" si="34"/>
        <v>0</v>
      </c>
      <c r="F39" s="366">
        <f t="shared" si="35"/>
        <v>0</v>
      </c>
      <c r="G39" s="599">
        <f t="shared" si="36"/>
        <v>-1124539.267929422</v>
      </c>
      <c r="H39" s="566">
        <v>-898485.14716465306</v>
      </c>
      <c r="I39" s="5">
        <v>0</v>
      </c>
      <c r="J39" s="5">
        <v>-226054.120764769</v>
      </c>
      <c r="K39" s="5">
        <v>0</v>
      </c>
      <c r="L39" s="5">
        <v>0</v>
      </c>
      <c r="M39" s="577">
        <v>0</v>
      </c>
    </row>
    <row r="40" spans="1:13" x14ac:dyDescent="0.35">
      <c r="A40">
        <v>22</v>
      </c>
      <c r="B40" t="s">
        <v>275</v>
      </c>
      <c r="C40" s="597">
        <f t="shared" si="32"/>
        <v>-282462.5346209553</v>
      </c>
      <c r="D40" s="366">
        <f t="shared" si="33"/>
        <v>-97125.229753235602</v>
      </c>
      <c r="E40" s="366">
        <f t="shared" si="34"/>
        <v>0</v>
      </c>
      <c r="F40" s="366">
        <f t="shared" si="35"/>
        <v>1808.6323599960101</v>
      </c>
      <c r="G40" s="599">
        <f t="shared" si="36"/>
        <v>-377779.13201419485</v>
      </c>
      <c r="H40" s="566">
        <v>-282504.58601559902</v>
      </c>
      <c r="I40" s="5">
        <v>0</v>
      </c>
      <c r="J40" s="5">
        <v>-97125.229753235602</v>
      </c>
      <c r="K40" s="5">
        <v>42.051394643725303</v>
      </c>
      <c r="L40" s="5">
        <v>1808.6323599960101</v>
      </c>
      <c r="M40" s="577">
        <v>0</v>
      </c>
    </row>
    <row r="41" spans="1:13" x14ac:dyDescent="0.35">
      <c r="A41">
        <v>23</v>
      </c>
      <c r="B41" t="s">
        <v>276</v>
      </c>
      <c r="C41" s="597">
        <f t="shared" si="32"/>
        <v>862399.84243803995</v>
      </c>
      <c r="D41" s="366">
        <f t="shared" si="33"/>
        <v>561002.35310783703</v>
      </c>
      <c r="E41" s="366">
        <f t="shared" si="34"/>
        <v>0</v>
      </c>
      <c r="F41" s="366">
        <f t="shared" si="35"/>
        <v>254650.38235319901</v>
      </c>
      <c r="G41" s="599">
        <f t="shared" si="36"/>
        <v>1678052.5778990758</v>
      </c>
      <c r="H41" s="566">
        <v>856583.70886726095</v>
      </c>
      <c r="I41" s="5">
        <v>0</v>
      </c>
      <c r="J41" s="5">
        <v>561002.35310783703</v>
      </c>
      <c r="K41" s="5">
        <v>5816.1335707789904</v>
      </c>
      <c r="L41" s="5">
        <v>254650.38235319901</v>
      </c>
      <c r="M41" s="577">
        <v>0</v>
      </c>
    </row>
    <row r="42" spans="1:13" x14ac:dyDescent="0.35">
      <c r="A42">
        <v>24</v>
      </c>
      <c r="B42" t="s">
        <v>294</v>
      </c>
      <c r="C42" s="597">
        <f t="shared" si="32"/>
        <v>720548.07071649889</v>
      </c>
      <c r="D42" s="366">
        <f t="shared" si="33"/>
        <v>375642.68021511199</v>
      </c>
      <c r="E42" s="366">
        <f t="shared" si="34"/>
        <v>0</v>
      </c>
      <c r="F42" s="366">
        <f t="shared" si="35"/>
        <v>209394.809153551</v>
      </c>
      <c r="G42" s="599">
        <f t="shared" si="36"/>
        <v>1305585.5600851618</v>
      </c>
      <c r="H42" s="566">
        <v>713586.820716633</v>
      </c>
      <c r="I42" s="5">
        <v>0</v>
      </c>
      <c r="J42" s="5">
        <v>375642.68021511199</v>
      </c>
      <c r="K42" s="5">
        <v>6961.2499998659096</v>
      </c>
      <c r="L42" s="5">
        <v>209394.809153551</v>
      </c>
      <c r="M42" s="577">
        <v>0</v>
      </c>
    </row>
    <row r="43" spans="1:13" x14ac:dyDescent="0.35">
      <c r="A43">
        <v>25</v>
      </c>
      <c r="B43" t="s">
        <v>295</v>
      </c>
      <c r="C43" s="347"/>
      <c r="E43" s="366"/>
      <c r="G43" s="348"/>
      <c r="H43" s="566"/>
      <c r="M43" s="577"/>
    </row>
    <row r="44" spans="1:13" x14ac:dyDescent="0.35">
      <c r="B44" s="350" t="s">
        <v>296</v>
      </c>
      <c r="C44" s="578">
        <f>SUM(C34:C43)</f>
        <v>14617642.936005581</v>
      </c>
      <c r="D44" s="578">
        <f t="shared" ref="D44:F44" si="37">SUM(D34:D43)</f>
        <v>8126319.2871071994</v>
      </c>
      <c r="E44" s="578">
        <f t="shared" si="37"/>
        <v>0</v>
      </c>
      <c r="F44" s="578">
        <f t="shared" si="37"/>
        <v>4653750.0069377562</v>
      </c>
      <c r="G44" s="630">
        <f t="shared" si="36"/>
        <v>27397712.230050538</v>
      </c>
      <c r="H44" s="578">
        <f>SUM(H34:H43)</f>
        <v>14508926.639990257</v>
      </c>
      <c r="I44" s="578">
        <f t="shared" ref="I44:M44" si="38">SUM(I34:I43)</f>
        <v>0</v>
      </c>
      <c r="J44" s="578">
        <f t="shared" si="38"/>
        <v>8126319.2871071994</v>
      </c>
      <c r="K44" s="578">
        <f t="shared" si="38"/>
        <v>108716.29601532425</v>
      </c>
      <c r="L44" s="578">
        <f t="shared" si="38"/>
        <v>4653750.0069377562</v>
      </c>
      <c r="M44" s="578">
        <f t="shared" si="38"/>
        <v>0</v>
      </c>
    </row>
    <row r="45" spans="1:13" x14ac:dyDescent="0.35">
      <c r="A45">
        <v>26</v>
      </c>
      <c r="B45" t="s">
        <v>278</v>
      </c>
      <c r="C45" s="597">
        <f t="shared" ref="C45:C46" si="39">SUM(H45,K45)</f>
        <v>3539264.7469773497</v>
      </c>
      <c r="D45" s="366">
        <f t="shared" ref="D45:D47" si="40">SUM(I45,J45)</f>
        <v>3769886.8480523201</v>
      </c>
      <c r="E45" s="366">
        <f t="shared" si="34"/>
        <v>156798.84122594999</v>
      </c>
      <c r="F45" s="366">
        <f t="shared" ref="F45:F47" si="41">L45</f>
        <v>496107.19</v>
      </c>
      <c r="G45" s="599">
        <f t="shared" ref="G45:G48" si="42">SUM(C45:F45)</f>
        <v>7962057.6262556203</v>
      </c>
      <c r="H45" s="566">
        <v>2089271.0845550101</v>
      </c>
      <c r="I45" s="5">
        <v>1454790.82744243</v>
      </c>
      <c r="J45" s="5">
        <v>2315096.0206098901</v>
      </c>
      <c r="K45" s="5">
        <v>1449993.6624223399</v>
      </c>
      <c r="L45" s="5">
        <v>496107.19</v>
      </c>
      <c r="M45" s="577">
        <v>156798.84122594999</v>
      </c>
    </row>
    <row r="46" spans="1:13" x14ac:dyDescent="0.35">
      <c r="A46">
        <v>27</v>
      </c>
      <c r="B46" t="s">
        <v>279</v>
      </c>
      <c r="C46" s="597">
        <f t="shared" si="39"/>
        <v>1318036.0664976579</v>
      </c>
      <c r="D46" s="366">
        <f t="shared" si="40"/>
        <v>2455480.08</v>
      </c>
      <c r="E46" s="366">
        <f t="shared" si="34"/>
        <v>0</v>
      </c>
      <c r="F46" s="366">
        <f t="shared" si="41"/>
        <v>254445.81</v>
      </c>
      <c r="G46" s="599">
        <f t="shared" si="42"/>
        <v>4027961.956497658</v>
      </c>
      <c r="H46" s="566">
        <v>1225016.5375000001</v>
      </c>
      <c r="I46" s="5">
        <v>0</v>
      </c>
      <c r="J46" s="5">
        <v>2455480.08</v>
      </c>
      <c r="K46" s="5">
        <v>93019.528997657704</v>
      </c>
      <c r="L46" s="5">
        <v>254445.81</v>
      </c>
      <c r="M46" s="577">
        <v>0</v>
      </c>
    </row>
    <row r="47" spans="1:13" x14ac:dyDescent="0.35">
      <c r="A47">
        <v>28</v>
      </c>
      <c r="B47" s="351" t="s">
        <v>280</v>
      </c>
      <c r="C47" s="598">
        <f t="shared" ref="C47" si="43">SUM(H47,K47,L47)</f>
        <v>0</v>
      </c>
      <c r="D47" s="366">
        <f t="shared" si="40"/>
        <v>0</v>
      </c>
      <c r="E47" s="366">
        <f t="shared" si="34"/>
        <v>0</v>
      </c>
      <c r="F47" s="366">
        <f t="shared" si="41"/>
        <v>0</v>
      </c>
      <c r="G47" s="599">
        <f t="shared" si="42"/>
        <v>0</v>
      </c>
      <c r="H47" s="567">
        <v>0</v>
      </c>
      <c r="I47" s="580">
        <v>0</v>
      </c>
      <c r="J47" s="580">
        <v>0</v>
      </c>
      <c r="K47" s="580">
        <v>0</v>
      </c>
      <c r="L47" s="580">
        <v>0</v>
      </c>
      <c r="M47" s="581">
        <v>0</v>
      </c>
    </row>
    <row r="48" spans="1:13" x14ac:dyDescent="0.35">
      <c r="B48" s="352" t="s">
        <v>297</v>
      </c>
      <c r="C48" s="582">
        <f>SUM(C45:C47)</f>
        <v>4857300.8134750072</v>
      </c>
      <c r="D48" s="628">
        <f t="shared" ref="D48:F48" si="44">SUM(D45:D47)</f>
        <v>6225366.9280523201</v>
      </c>
      <c r="E48" s="628">
        <f t="shared" si="44"/>
        <v>156798.84122594999</v>
      </c>
      <c r="F48" s="628">
        <f t="shared" si="44"/>
        <v>750553</v>
      </c>
      <c r="G48" s="629">
        <f t="shared" si="42"/>
        <v>11990019.582753276</v>
      </c>
      <c r="H48" s="582">
        <f>SUM(H45:H47)</f>
        <v>3314287.6220550099</v>
      </c>
      <c r="I48" s="582">
        <f t="shared" ref="I48:M48" si="45">SUM(I45:I47)</f>
        <v>1454790.82744243</v>
      </c>
      <c r="J48" s="582">
        <f t="shared" si="45"/>
        <v>4770576.1006098902</v>
      </c>
      <c r="K48" s="582">
        <f t="shared" si="45"/>
        <v>1543013.1914199977</v>
      </c>
      <c r="L48" s="582">
        <f t="shared" si="45"/>
        <v>750553</v>
      </c>
      <c r="M48" s="592">
        <f t="shared" si="45"/>
        <v>156798.84122594999</v>
      </c>
    </row>
    <row r="49" spans="2:13" ht="15" thickBot="1" x14ac:dyDescent="0.4">
      <c r="B49" s="353" t="s">
        <v>298</v>
      </c>
      <c r="C49" s="569">
        <f>IFERROR(C44/C48,0)</f>
        <v>3.0094168546147415</v>
      </c>
      <c r="D49" s="569">
        <f t="shared" ref="D49:F49" si="46">IFERROR(D44/D48,0)</f>
        <v>1.3053558739628566</v>
      </c>
      <c r="E49" s="569">
        <f t="shared" si="46"/>
        <v>0</v>
      </c>
      <c r="F49" s="569">
        <f t="shared" si="46"/>
        <v>6.2004282268377535</v>
      </c>
      <c r="G49" s="569">
        <f t="shared" ref="G49" si="47">G44/G48</f>
        <v>2.285043159517441</v>
      </c>
      <c r="H49" s="569">
        <f>H44/H48</f>
        <v>4.3776908628690645</v>
      </c>
      <c r="I49" s="569">
        <f t="shared" ref="I49:M49" si="48">I44/I48</f>
        <v>0</v>
      </c>
      <c r="J49" s="569">
        <f t="shared" si="48"/>
        <v>1.7034251452499201</v>
      </c>
      <c r="K49" s="569">
        <f t="shared" si="48"/>
        <v>7.0457139718472062E-2</v>
      </c>
      <c r="L49" s="569">
        <f t="shared" si="48"/>
        <v>6.2004282268377535</v>
      </c>
      <c r="M49" s="593">
        <f t="shared" si="48"/>
        <v>0</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4659260841701"/>
  </sheetPr>
  <dimension ref="B1:D34"/>
  <sheetViews>
    <sheetView workbookViewId="0"/>
  </sheetViews>
  <sheetFormatPr defaultColWidth="9.1796875" defaultRowHeight="15.5" x14ac:dyDescent="0.35"/>
  <cols>
    <col min="1" max="1" width="3.7265625" style="836" customWidth="1"/>
    <col min="2" max="2" width="80.7265625" style="836" customWidth="1"/>
    <col min="3" max="3" width="60.7265625" style="836" customWidth="1"/>
    <col min="4" max="4" width="90.7265625" style="836" customWidth="1"/>
    <col min="5" max="16384" width="9.1796875" style="836"/>
  </cols>
  <sheetData>
    <row r="1" spans="2:4" x14ac:dyDescent="0.35">
      <c r="B1" s="844" t="s">
        <v>299</v>
      </c>
      <c r="D1" s="844" t="s">
        <v>300</v>
      </c>
    </row>
    <row r="2" spans="2:4" ht="21" customHeight="1" x14ac:dyDescent="0.35">
      <c r="B2" s="836" t="s">
        <v>301</v>
      </c>
    </row>
    <row r="3" spans="2:4" x14ac:dyDescent="0.35">
      <c r="D3" s="836" t="s">
        <v>302</v>
      </c>
    </row>
    <row r="4" spans="2:4" x14ac:dyDescent="0.35">
      <c r="B4" s="837" t="s">
        <v>303</v>
      </c>
    </row>
    <row r="5" spans="2:4" x14ac:dyDescent="0.35">
      <c r="B5" s="837" t="s">
        <v>304</v>
      </c>
    </row>
    <row r="6" spans="2:4" x14ac:dyDescent="0.35">
      <c r="B6" s="838"/>
    </row>
    <row r="7" spans="2:4" x14ac:dyDescent="0.35">
      <c r="B7" s="838"/>
    </row>
    <row r="8" spans="2:4" ht="18" x14ac:dyDescent="0.35">
      <c r="B8" s="843" t="s">
        <v>305</v>
      </c>
    </row>
    <row r="9" spans="2:4" ht="54.75" customHeight="1" x14ac:dyDescent="0.35">
      <c r="B9" s="839" t="s">
        <v>306</v>
      </c>
    </row>
    <row r="10" spans="2:4" x14ac:dyDescent="0.35">
      <c r="B10" s="840"/>
    </row>
    <row r="11" spans="2:4" ht="78.75" customHeight="1" x14ac:dyDescent="0.35">
      <c r="B11" s="839" t="s">
        <v>307</v>
      </c>
    </row>
    <row r="12" spans="2:4" x14ac:dyDescent="0.35">
      <c r="B12" s="839"/>
    </row>
    <row r="13" spans="2:4" x14ac:dyDescent="0.35">
      <c r="B13" s="839"/>
    </row>
    <row r="14" spans="2:4" x14ac:dyDescent="0.35">
      <c r="B14" s="839"/>
    </row>
    <row r="15" spans="2:4" ht="18" x14ac:dyDescent="0.35">
      <c r="B15" s="843" t="s">
        <v>308</v>
      </c>
    </row>
    <row r="16" spans="2:4" x14ac:dyDescent="0.35">
      <c r="B16" s="839"/>
    </row>
    <row r="17" spans="2:2" ht="36" x14ac:dyDescent="0.35">
      <c r="B17" s="839" t="s">
        <v>309</v>
      </c>
    </row>
    <row r="18" spans="2:2" x14ac:dyDescent="0.35">
      <c r="B18" s="839"/>
    </row>
    <row r="19" spans="2:2" ht="136.5" customHeight="1" x14ac:dyDescent="0.35">
      <c r="B19" s="839"/>
    </row>
    <row r="20" spans="2:2" x14ac:dyDescent="0.35">
      <c r="B20" s="839"/>
    </row>
    <row r="21" spans="2:2" x14ac:dyDescent="0.35">
      <c r="B21" s="839"/>
    </row>
    <row r="22" spans="2:2" ht="40.5" customHeight="1" x14ac:dyDescent="0.35">
      <c r="B22" s="839" t="s">
        <v>310</v>
      </c>
    </row>
    <row r="23" spans="2:2" x14ac:dyDescent="0.35">
      <c r="B23" s="840"/>
    </row>
    <row r="24" spans="2:2" x14ac:dyDescent="0.35">
      <c r="B24" s="839"/>
    </row>
    <row r="25" spans="2:2" x14ac:dyDescent="0.35">
      <c r="B25" s="839"/>
    </row>
    <row r="26" spans="2:2" ht="75.75" customHeight="1" x14ac:dyDescent="0.35">
      <c r="B26" s="839" t="s">
        <v>311</v>
      </c>
    </row>
    <row r="27" spans="2:2" x14ac:dyDescent="0.35">
      <c r="B27" s="839"/>
    </row>
    <row r="28" spans="2:2" x14ac:dyDescent="0.35">
      <c r="B28" s="841" t="s">
        <v>312</v>
      </c>
    </row>
    <row r="29" spans="2:2" x14ac:dyDescent="0.35">
      <c r="B29" s="841" t="s">
        <v>313</v>
      </c>
    </row>
    <row r="30" spans="2:2" ht="31" x14ac:dyDescent="0.35">
      <c r="B30" s="841" t="s">
        <v>314</v>
      </c>
    </row>
    <row r="31" spans="2:2" x14ac:dyDescent="0.35">
      <c r="B31" s="842"/>
    </row>
    <row r="33" spans="2:2" x14ac:dyDescent="0.35">
      <c r="B33" s="836" t="s">
        <v>315</v>
      </c>
    </row>
    <row r="34" spans="2:2" x14ac:dyDescent="0.35">
      <c r="B34" s="836" t="s">
        <v>316</v>
      </c>
    </row>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ba291332-5843-45d8-bfc3-9844fb3e26da">
      <UserInfo>
        <DisplayName>Rosenthal, Nicholas I:(PHI)</DisplayName>
        <AccountId>61</AccountId>
        <AccountType/>
      </UserInfo>
      <UserInfo>
        <DisplayName>Tate, Pamela:(PHI)</DisplayName>
        <AccountId>38</AccountId>
        <AccountType/>
      </UserInfo>
      <UserInfo>
        <DisplayName>Rountree, Candyce A:(PHI)</DisplayName>
        <AccountId>85</AccountId>
        <AccountType/>
      </UserInfo>
      <UserInfo>
        <DisplayName>Church-Guy, Christian E:(PHI)</DisplayName>
        <AccountId>32</AccountId>
        <AccountType/>
      </UserInfo>
      <UserInfo>
        <DisplayName>Jones, Sherri:(PHI)</DisplayName>
        <AccountId>101</AccountId>
        <AccountType/>
      </UserInfo>
      <UserInfo>
        <DisplayName>Hitchman, Elizabeth A:(PHI)</DisplayName>
        <AccountId>35</AccountId>
        <AccountType/>
      </UserInfo>
      <UserInfo>
        <DisplayName>Hopper, Aija:(PHI)</DisplayName>
        <AccountId>210</AccountId>
        <AccountType/>
      </UserInfo>
      <UserInfo>
        <DisplayName>Miles, Paul W:(PHI)</DisplayName>
        <AccountId>86</AccountId>
        <AccountType/>
      </UserInfo>
      <UserInfo>
        <DisplayName>Wynne, Vincent M:(PHI)</DisplayName>
        <AccountId>13</AccountId>
        <AccountType/>
      </UserInfo>
      <UserInfo>
        <DisplayName>Martin, Jeffrey J:(PHI)</DisplayName>
        <AccountId>17</AccountId>
        <AccountType/>
      </UserInfo>
      <UserInfo>
        <DisplayName>Sneeringer, David J:(PHI)</DisplayName>
        <AccountId>36</AccountId>
        <AccountType/>
      </UserInfo>
      <UserInfo>
        <DisplayName>Cohen, Joseph K:(PHI)</DisplayName>
        <AccountId>14</AccountId>
        <AccountType/>
      </UserInfo>
      <UserInfo>
        <DisplayName>Henderson, Kimberly L:(PHI)</DisplayName>
        <AccountId>57</AccountId>
        <AccountType/>
      </UserInfo>
      <UserInfo>
        <DisplayName>Tiwari, Amrita:(PHI)</DisplayName>
        <AccountId>137</AccountId>
        <AccountType/>
      </UserInfo>
      <UserInfo>
        <DisplayName>Yu, Jessica:(PHI)</DisplayName>
        <AccountId>53</AccountId>
        <AccountType/>
      </UserInfo>
      <UserInfo>
        <DisplayName>Yemenijian, Debra:(PHI)</DisplayName>
        <AccountId>96</AccountId>
        <AccountType/>
      </UserInfo>
      <UserInfo>
        <DisplayName>Shu, Priscilla:(PHI)</DisplayName>
        <AccountId>148</AccountId>
        <AccountType/>
      </UserInfo>
      <UserInfo>
        <DisplayName>Major, Lauri:(PHI)</DisplayName>
        <AccountId>84</AccountId>
        <AccountType/>
      </UserInfo>
      <UserInfo>
        <DisplayName>Roark, Jacqueline R:(PHI)</DisplayName>
        <AccountId>45</AccountId>
        <AccountType/>
      </UserInfo>
      <UserInfo>
        <DisplayName>Anastasopoulos, Kyriakos:(PHI)</DisplayName>
        <AccountId>67</AccountId>
        <AccountType/>
      </UserInfo>
      <UserInfo>
        <DisplayName>Bell, Imran:(PHI)</DisplayName>
        <AccountId>109</AccountId>
        <AccountType/>
      </UserInfo>
      <UserInfo>
        <DisplayName>Measamer, Christine E:(PHI)</DisplayName>
        <AccountId>56</AccountId>
        <AccountType/>
      </UserInfo>
      <UserInfo>
        <DisplayName>Pirtle, David C:(PHI)</DisplayName>
        <AccountId>43</AccountId>
        <AccountType/>
      </UserInfo>
      <UserInfo>
        <DisplayName>Coyle, Catherine C:(PHI)</DisplayName>
        <AccountId>354</AccountId>
        <AccountType/>
      </UserInfo>
      <UserInfo>
        <DisplayName>Passanante, Philip J:(PHI)</DisplayName>
        <AccountId>351</AccountId>
        <AccountType/>
      </UserInfo>
      <UserInfo>
        <DisplayName>Hall, Heather:(ACE)</DisplayName>
        <AccountId>279</AccountId>
        <AccountType/>
      </UserInfo>
      <UserInfo>
        <DisplayName>Sheridan, Joanne C:(ACE)</DisplayName>
        <AccountId>386</AccountId>
        <AccountType/>
      </UserInfo>
      <UserInfo>
        <DisplayName>Reilly, Julia P:(PHI)</DisplayName>
        <AccountId>352</AccountId>
        <AccountType/>
      </UserInfo>
      <UserInfo>
        <DisplayName>Showalter, Kelly J:(PHI)</DisplayName>
        <AccountId>387</AccountId>
        <AccountType/>
      </UserInfo>
      <UserInfo>
        <DisplayName>McCullough, Gwen Theresa T:(PHI)</DisplayName>
        <AccountId>224</AccountId>
        <AccountType/>
      </UserInfo>
      <UserInfo>
        <DisplayName>Kremmel, Ashley:(PHI)</DisplayName>
        <AccountId>145</AccountId>
        <AccountType/>
      </UserInfo>
      <UserInfo>
        <DisplayName>Masters, Joshua L:(PHI)</DisplayName>
        <AccountId>146</AccountId>
        <AccountType/>
      </UserInfo>
    </SharedWithUsers>
    <_activity xmlns="39c968e2-ee87-41b9-8fa8-4cd604c6e88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344E40FD4B6E44E8C95B60B306FD587" ma:contentTypeVersion="6" ma:contentTypeDescription="Create a new document." ma:contentTypeScope="" ma:versionID="8a3035749d84f1ec8ef0acfe3243cc51">
  <xsd:schema xmlns:xsd="http://www.w3.org/2001/XMLSchema" xmlns:xs="http://www.w3.org/2001/XMLSchema" xmlns:p="http://schemas.microsoft.com/office/2006/metadata/properties" xmlns:ns3="39c968e2-ee87-41b9-8fa8-4cd604c6e882" xmlns:ns4="ba291332-5843-45d8-bfc3-9844fb3e26da" targetNamespace="http://schemas.microsoft.com/office/2006/metadata/properties" ma:root="true" ma:fieldsID="a5df3301cb69bff59dcebdd055577f15" ns3:_="" ns4:_="">
    <xsd:import namespace="39c968e2-ee87-41b9-8fa8-4cd604c6e882"/>
    <xsd:import namespace="ba291332-5843-45d8-bfc3-9844fb3e26da"/>
    <xsd:element name="properties">
      <xsd:complexType>
        <xsd:sequence>
          <xsd:element name="documentManagement">
            <xsd:complexType>
              <xsd:all>
                <xsd:element ref="ns3:MediaServiceMetadata" minOccurs="0"/>
                <xsd:element ref="ns3:MediaServiceFastMetadata" minOccurs="0"/>
                <xsd:element ref="ns3:_activity"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c968e2-ee87-41b9-8fa8-4cd604c6e8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0"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a291332-5843-45d8-bfc3-9844fb3e26da"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SharingHintHash" ma:index="13"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3C1C89C-762F-44E2-A7B3-C59E51A84268}">
  <ds:schemaRefs>
    <ds:schemaRef ds:uri="http://schemas.microsoft.com/sharepoint/v3/contenttype/forms"/>
  </ds:schemaRefs>
</ds:datastoreItem>
</file>

<file path=customXml/itemProps2.xml><?xml version="1.0" encoding="utf-8"?>
<ds:datastoreItem xmlns:ds="http://schemas.openxmlformats.org/officeDocument/2006/customXml" ds:itemID="{6D6747A1-12BF-4046-909E-B94B95B669EF}">
  <ds:schemaRefs>
    <ds:schemaRef ds:uri="http://purl.org/dc/elements/1.1/"/>
    <ds:schemaRef ds:uri="http://www.w3.org/XML/1998/namespace"/>
    <ds:schemaRef ds:uri="39c968e2-ee87-41b9-8fa8-4cd604c6e882"/>
    <ds:schemaRef ds:uri="http://schemas.microsoft.com/office/2006/documentManagement/types"/>
    <ds:schemaRef ds:uri="http://purl.org/dc/terms/"/>
    <ds:schemaRef ds:uri="http://schemas.openxmlformats.org/package/2006/metadata/core-properties"/>
    <ds:schemaRef ds:uri="http://schemas.microsoft.com/office/infopath/2007/PartnerControls"/>
    <ds:schemaRef ds:uri="ba291332-5843-45d8-bfc3-9844fb3e26da"/>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85E4EAF8-5C4C-4C46-BD2A-7F7F85C00E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c968e2-ee87-41b9-8fa8-4cd604c6e882"/>
    <ds:schemaRef ds:uri="ba291332-5843-45d8-bfc3-9844fb3e26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3</vt:i4>
      </vt:variant>
    </vt:vector>
  </HeadingPairs>
  <TitlesOfParts>
    <vt:vector size="14" baseType="lpstr">
      <vt:lpstr>Wholesale Annual Electric (Orig</vt:lpstr>
      <vt:lpstr>Qtr Electric Master</vt:lpstr>
      <vt:lpstr>Table 8</vt:lpstr>
      <vt:lpstr>Sheet1</vt:lpstr>
      <vt:lpstr>Qtr Electric LMI</vt:lpstr>
      <vt:lpstr>Qtr Electric Business Class</vt:lpstr>
      <vt:lpstr>Do Not Use</vt:lpstr>
      <vt:lpstr>AP F -TRM Secondary Metrics</vt:lpstr>
      <vt:lpstr>AP G - Transfer</vt:lpstr>
      <vt:lpstr>AP H - CostTest</vt:lpstr>
      <vt:lpstr>Notes</vt:lpstr>
      <vt:lpstr>'Qtr Electric Business Class'!Print_Area</vt:lpstr>
      <vt:lpstr>'Qtr Electric LMI'!Print_Area</vt:lpstr>
      <vt:lpstr>'Qtr Electric Master'!Print_Area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Trautman, Alexis</dc:creator>
  <cp:keywords/>
  <dc:description/>
  <cp:lastModifiedBy>Trautman, Alexis</cp:lastModifiedBy>
  <cp:revision/>
  <dcterms:created xsi:type="dcterms:W3CDTF">2023-03-22T12:21:08Z</dcterms:created>
  <dcterms:modified xsi:type="dcterms:W3CDTF">2023-04-27T20:03:46Z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0x0101001344E40FD4B6E44E8C95B60B306FD587</vt:lpwstr>
  </property>
</Properties>
</file>