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4235" windowHeight="8580" activeTab="7"/>
  </bookViews>
  <sheets>
    <sheet name="RQRD Reduction" sheetId="18" r:id="rId1"/>
    <sheet name="Revised 2012 budget" sheetId="4" r:id="rId2"/>
    <sheet name="Revised 2012 EE Budget" sheetId="11" r:id="rId3"/>
    <sheet name="EE Budget Detail" sheetId="14" r:id="rId4"/>
    <sheet name="Revised 2012 RE Budget" sheetId="12" r:id="rId5"/>
    <sheet name="RE Budget Detail" sheetId="15" r:id="rId6"/>
    <sheet name="Revised 2012 EDA Budget" sheetId="17" r:id="rId7"/>
    <sheet name="Revised OCE Oversight Budget" sheetId="13" r:id="rId8"/>
    <sheet name="2011 Energy Efficiency Budget" sheetId="1" r:id="rId9"/>
    <sheet name="2011 RE - EDA Energy Budgets" sheetId="2" r:id="rId10"/>
    <sheet name="2011 OCE Oversight" sheetId="3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ma_1_1_to_2_29">#REF!</definedName>
    <definedName name="_xlnm.Print_Area" localSheetId="8">'2011 Energy Efficiency Budget'!$A$1:$F$35</definedName>
    <definedName name="_xlnm.Print_Area" localSheetId="10">'2011 OCE Oversight'!$A$1:$F$25</definedName>
    <definedName name="_xlnm.Print_Area" localSheetId="9">'2011 RE - EDA Energy Budgets'!$A$1:$F$19</definedName>
    <definedName name="_xlnm.Print_Area" localSheetId="3">'EE Budget Detail'!$A$1:$F$35</definedName>
    <definedName name="_xlnm.Print_Area" localSheetId="5">'RE Budget Detail'!$A$1:$E$11</definedName>
    <definedName name="_xlnm.Print_Area" localSheetId="1">'Revised 2012 budget'!$A$1:$J$40</definedName>
    <definedName name="_xlnm.Print_Area" localSheetId="6">'Revised 2012 EDA Budget'!$A$1:$I$26</definedName>
    <definedName name="_xlnm.Print_Area" localSheetId="2">'Revised 2012 EE Budget'!$A$1:$I$43</definedName>
    <definedName name="_xlnm.Print_Area" localSheetId="4">'Revised 2012 RE Budget'!$A$1:$I$13</definedName>
    <definedName name="_xlnm.Print_Area" localSheetId="7">'Revised OCE Oversight Budget'!$A$1:$I$28</definedName>
  </definedNames>
  <calcPr calcId="145621" concurrentCalc="0"/>
</workbook>
</file>

<file path=xl/calcChain.xml><?xml version="1.0" encoding="utf-8"?>
<calcChain xmlns="http://schemas.openxmlformats.org/spreadsheetml/2006/main">
  <c r="I25" i="4" l="1"/>
  <c r="E7" i="17"/>
  <c r="H25" i="11"/>
  <c r="I23" i="4"/>
  <c r="H10" i="11"/>
  <c r="B8" i="13"/>
  <c r="E8" i="3"/>
  <c r="F8" i="3"/>
  <c r="C8" i="13"/>
  <c r="D8" i="13"/>
  <c r="F8" i="13"/>
  <c r="H8" i="13"/>
  <c r="I8" i="13"/>
  <c r="B20" i="13"/>
  <c r="E19" i="3"/>
  <c r="F19" i="3"/>
  <c r="C20" i="13"/>
  <c r="D20" i="13"/>
  <c r="F20" i="13"/>
  <c r="H20" i="13"/>
  <c r="H12" i="11"/>
  <c r="H13" i="11"/>
  <c r="H41" i="11"/>
  <c r="E7" i="1"/>
  <c r="F7" i="1"/>
  <c r="C7" i="11"/>
  <c r="E8" i="1"/>
  <c r="F8" i="1"/>
  <c r="C8" i="11"/>
  <c r="E9" i="1"/>
  <c r="F9" i="1"/>
  <c r="C9" i="11"/>
  <c r="E10" i="1"/>
  <c r="F10" i="1"/>
  <c r="C10" i="11"/>
  <c r="E11" i="1"/>
  <c r="F11" i="1"/>
  <c r="C11" i="11"/>
  <c r="C12" i="11"/>
  <c r="E14" i="1"/>
  <c r="F14" i="1"/>
  <c r="C15" i="11"/>
  <c r="C16" i="11"/>
  <c r="E17" i="1"/>
  <c r="F17" i="1"/>
  <c r="C19" i="11"/>
  <c r="E18" i="1"/>
  <c r="F18" i="1"/>
  <c r="C20" i="11"/>
  <c r="E19" i="1"/>
  <c r="F19" i="1"/>
  <c r="C21" i="11"/>
  <c r="E20" i="1"/>
  <c r="F20" i="1"/>
  <c r="C22" i="11"/>
  <c r="E21" i="1"/>
  <c r="F21" i="1"/>
  <c r="C23" i="11"/>
  <c r="E22" i="1"/>
  <c r="F22" i="1"/>
  <c r="C24" i="11"/>
  <c r="E23" i="1"/>
  <c r="F23" i="1"/>
  <c r="C25" i="11"/>
  <c r="E24" i="1"/>
  <c r="F24" i="1"/>
  <c r="C26" i="11"/>
  <c r="E25" i="1"/>
  <c r="F25" i="1"/>
  <c r="C27" i="11"/>
  <c r="E26" i="1"/>
  <c r="F26" i="1"/>
  <c r="C28" i="11"/>
  <c r="E27" i="1"/>
  <c r="F27" i="1"/>
  <c r="C29" i="11"/>
  <c r="C31" i="11"/>
  <c r="E30" i="1"/>
  <c r="F30" i="1"/>
  <c r="C34" i="11"/>
  <c r="E31" i="1"/>
  <c r="F31" i="1"/>
  <c r="C35" i="11"/>
  <c r="E32" i="1"/>
  <c r="F32" i="1"/>
  <c r="C36" i="11"/>
  <c r="C38" i="11"/>
  <c r="C40" i="11"/>
  <c r="C4" i="4"/>
  <c r="E6" i="2"/>
  <c r="F6" i="2"/>
  <c r="C6" i="12"/>
  <c r="E7" i="2"/>
  <c r="F7" i="2"/>
  <c r="C7" i="12"/>
  <c r="E8" i="2"/>
  <c r="F8" i="2"/>
  <c r="C8" i="12"/>
  <c r="E9" i="2"/>
  <c r="F9" i="2"/>
  <c r="C9" i="12"/>
  <c r="E10" i="2"/>
  <c r="F10" i="2"/>
  <c r="C10" i="12"/>
  <c r="E11" i="2"/>
  <c r="F11" i="2"/>
  <c r="C11" i="12"/>
  <c r="C12" i="12"/>
  <c r="C5" i="4"/>
  <c r="E16" i="2"/>
  <c r="F16" i="2"/>
  <c r="C7" i="17"/>
  <c r="E17" i="2"/>
  <c r="F17" i="2"/>
  <c r="C8" i="17"/>
  <c r="E18" i="2"/>
  <c r="F18" i="2"/>
  <c r="C9" i="17"/>
  <c r="C11" i="17"/>
  <c r="C6" i="4"/>
  <c r="E11" i="3"/>
  <c r="F11" i="3"/>
  <c r="C11" i="13"/>
  <c r="E12" i="3"/>
  <c r="F12" i="3"/>
  <c r="C12" i="13"/>
  <c r="C14" i="13"/>
  <c r="E15" i="3"/>
  <c r="F15" i="3"/>
  <c r="C16" i="13"/>
  <c r="E16" i="3"/>
  <c r="F16" i="3"/>
  <c r="C17" i="13"/>
  <c r="E17" i="3"/>
  <c r="F17" i="3"/>
  <c r="C18" i="13"/>
  <c r="E18" i="3"/>
  <c r="F18" i="3"/>
  <c r="C19" i="13"/>
  <c r="E20" i="3"/>
  <c r="F20" i="3"/>
  <c r="C21" i="13"/>
  <c r="C22" i="13"/>
  <c r="E23" i="3"/>
  <c r="F23" i="3"/>
  <c r="C24" i="13"/>
  <c r="C26" i="13"/>
  <c r="E7" i="3"/>
  <c r="F7" i="3"/>
  <c r="C7" i="13"/>
  <c r="C9" i="13"/>
  <c r="C27" i="13"/>
  <c r="C7" i="4"/>
  <c r="E36" i="1"/>
  <c r="F36" i="1"/>
  <c r="C43" i="11"/>
  <c r="C8" i="4"/>
  <c r="C11" i="4"/>
  <c r="E17" i="4"/>
  <c r="I27" i="4"/>
  <c r="I32" i="4"/>
  <c r="D7" i="11"/>
  <c r="D8" i="11"/>
  <c r="D9" i="11"/>
  <c r="D10" i="11"/>
  <c r="D11" i="11"/>
  <c r="D12" i="11"/>
  <c r="D15" i="11"/>
  <c r="D16" i="11"/>
  <c r="D19" i="11"/>
  <c r="D20" i="11"/>
  <c r="D21" i="11"/>
  <c r="D22" i="11"/>
  <c r="D23" i="11"/>
  <c r="D24" i="11"/>
  <c r="D25" i="11"/>
  <c r="D26" i="11"/>
  <c r="D27" i="11"/>
  <c r="D28" i="11"/>
  <c r="D29" i="11"/>
  <c r="D31" i="11"/>
  <c r="D35" i="11"/>
  <c r="D38" i="11"/>
  <c r="D40" i="11"/>
  <c r="D4" i="4"/>
  <c r="D6" i="12"/>
  <c r="D7" i="12"/>
  <c r="D8" i="12"/>
  <c r="D9" i="12"/>
  <c r="D10" i="12"/>
  <c r="D11" i="12"/>
  <c r="D12" i="12"/>
  <c r="D5" i="4"/>
  <c r="B17" i="17"/>
  <c r="D17" i="17"/>
  <c r="D7" i="17"/>
  <c r="D11" i="17"/>
  <c r="D6" i="4"/>
  <c r="D11" i="13"/>
  <c r="D12" i="13"/>
  <c r="D14" i="13"/>
  <c r="D18" i="13"/>
  <c r="D19" i="13"/>
  <c r="D21" i="13"/>
  <c r="D22" i="13"/>
  <c r="D7" i="13"/>
  <c r="D9" i="13"/>
  <c r="D27" i="13"/>
  <c r="D7" i="4"/>
  <c r="D11" i="4"/>
  <c r="D13" i="4"/>
  <c r="J16" i="4"/>
  <c r="E28" i="11"/>
  <c r="E27" i="11"/>
  <c r="E25" i="11"/>
  <c r="E22" i="11"/>
  <c r="E31" i="11"/>
  <c r="E21" i="11"/>
  <c r="E20" i="11"/>
  <c r="B11" i="11"/>
  <c r="E11" i="11"/>
  <c r="E10" i="11"/>
  <c r="E9" i="11"/>
  <c r="E7" i="11"/>
  <c r="H10" i="4"/>
  <c r="J10" i="4"/>
  <c r="G7" i="4"/>
  <c r="G6" i="4"/>
  <c r="G5" i="4"/>
  <c r="I8" i="4"/>
  <c r="I7" i="4"/>
  <c r="I6" i="4"/>
  <c r="I5" i="4"/>
  <c r="I4" i="4"/>
  <c r="I11" i="4"/>
  <c r="I13" i="4"/>
  <c r="H28" i="13"/>
  <c r="H12" i="17"/>
  <c r="H13" i="12"/>
  <c r="H39" i="11"/>
  <c r="H32" i="11"/>
  <c r="H17" i="11"/>
  <c r="E9" i="13"/>
  <c r="B31" i="4"/>
  <c r="D31" i="4"/>
  <c r="B28" i="4"/>
  <c r="B27" i="4"/>
  <c r="B26" i="4"/>
  <c r="B25" i="4"/>
  <c r="B24" i="4"/>
  <c r="B7" i="3"/>
  <c r="C7" i="3"/>
  <c r="E9" i="3"/>
  <c r="B8" i="3"/>
  <c r="D8" i="3"/>
  <c r="C8" i="3"/>
  <c r="C9" i="3"/>
  <c r="B11" i="3"/>
  <c r="C11" i="3"/>
  <c r="B12" i="3"/>
  <c r="C12" i="3"/>
  <c r="A13" i="3"/>
  <c r="B15" i="3"/>
  <c r="C15" i="3"/>
  <c r="B16" i="3"/>
  <c r="C16" i="3"/>
  <c r="B17" i="3"/>
  <c r="C17" i="3"/>
  <c r="B18" i="3"/>
  <c r="C18" i="3"/>
  <c r="D18" i="3"/>
  <c r="B19" i="3"/>
  <c r="C19" i="3"/>
  <c r="D19" i="3"/>
  <c r="B20" i="3"/>
  <c r="C20" i="3"/>
  <c r="A21" i="3"/>
  <c r="B23" i="3"/>
  <c r="D23" i="3"/>
  <c r="C23" i="3"/>
  <c r="C24" i="3"/>
  <c r="A24" i="3"/>
  <c r="B24" i="3"/>
  <c r="B6" i="2"/>
  <c r="C6" i="2"/>
  <c r="D6" i="2"/>
  <c r="B7" i="2"/>
  <c r="C7" i="2"/>
  <c r="B8" i="2"/>
  <c r="D8" i="2"/>
  <c r="C8" i="2"/>
  <c r="B9" i="2"/>
  <c r="D9" i="2"/>
  <c r="C9" i="2"/>
  <c r="B10" i="2"/>
  <c r="D10" i="2"/>
  <c r="C10" i="2"/>
  <c r="B11" i="2"/>
  <c r="C11" i="2"/>
  <c r="B16" i="2"/>
  <c r="D16" i="2"/>
  <c r="C16" i="2"/>
  <c r="B17" i="2"/>
  <c r="D17" i="2"/>
  <c r="C17" i="2"/>
  <c r="B18" i="2"/>
  <c r="C18" i="2"/>
  <c r="B7" i="1"/>
  <c r="D7" i="1"/>
  <c r="C7" i="1"/>
  <c r="B8" i="1"/>
  <c r="D8" i="1"/>
  <c r="C8" i="1"/>
  <c r="B9" i="1"/>
  <c r="C9" i="1"/>
  <c r="B10" i="1"/>
  <c r="C10" i="1"/>
  <c r="C12" i="1"/>
  <c r="B11" i="1"/>
  <c r="C11" i="1"/>
  <c r="D11" i="1"/>
  <c r="E12" i="1"/>
  <c r="B14" i="1"/>
  <c r="B15" i="1"/>
  <c r="C14" i="1"/>
  <c r="C15" i="1"/>
  <c r="F15" i="1"/>
  <c r="B17" i="1"/>
  <c r="B28" i="1"/>
  <c r="C17" i="1"/>
  <c r="B18" i="1"/>
  <c r="D18" i="1"/>
  <c r="C18" i="1"/>
  <c r="B19" i="1"/>
  <c r="C19" i="1"/>
  <c r="B20" i="1"/>
  <c r="C20" i="1"/>
  <c r="B21" i="1"/>
  <c r="D21" i="1"/>
  <c r="C21" i="1"/>
  <c r="B23" i="11"/>
  <c r="F23" i="11"/>
  <c r="I23" i="11"/>
  <c r="C20" i="14"/>
  <c r="B22" i="1"/>
  <c r="D22" i="1"/>
  <c r="C22" i="1"/>
  <c r="B23" i="1"/>
  <c r="C23" i="1"/>
  <c r="B24" i="1"/>
  <c r="C24" i="1"/>
  <c r="B25" i="1"/>
  <c r="C25" i="1"/>
  <c r="D25" i="1"/>
  <c r="B26" i="1"/>
  <c r="C26" i="1"/>
  <c r="D26" i="1"/>
  <c r="B27" i="1"/>
  <c r="C27" i="1"/>
  <c r="B30" i="1"/>
  <c r="C30" i="1"/>
  <c r="D30" i="1"/>
  <c r="B31" i="1"/>
  <c r="C31" i="1"/>
  <c r="D31" i="1"/>
  <c r="B32" i="1"/>
  <c r="C32" i="1"/>
  <c r="B36" i="11"/>
  <c r="F36" i="11"/>
  <c r="I36" i="11"/>
  <c r="E32" i="14"/>
  <c r="F32" i="14"/>
  <c r="B36" i="1"/>
  <c r="C36" i="1"/>
  <c r="D36" i="1"/>
  <c r="B7" i="13"/>
  <c r="B9" i="13"/>
  <c r="G9" i="13"/>
  <c r="B11" i="13"/>
  <c r="B12" i="13"/>
  <c r="B13" i="13"/>
  <c r="B14" i="13"/>
  <c r="F13" i="13"/>
  <c r="I13" i="13"/>
  <c r="F11" i="13"/>
  <c r="I11" i="13"/>
  <c r="F12" i="13"/>
  <c r="I12" i="13"/>
  <c r="I14" i="13"/>
  <c r="E14" i="13"/>
  <c r="G14" i="13"/>
  <c r="H14" i="13"/>
  <c r="B16" i="13"/>
  <c r="B17" i="13"/>
  <c r="B18" i="13"/>
  <c r="B19" i="13"/>
  <c r="F19" i="13"/>
  <c r="I19" i="13"/>
  <c r="B21" i="13"/>
  <c r="E21" i="13"/>
  <c r="E22" i="13"/>
  <c r="E27" i="13"/>
  <c r="E7" i="4"/>
  <c r="G22" i="13"/>
  <c r="H22" i="13"/>
  <c r="B24" i="13"/>
  <c r="B25" i="13"/>
  <c r="F25" i="13"/>
  <c r="I25" i="13"/>
  <c r="D25" i="13"/>
  <c r="D26" i="13"/>
  <c r="E26" i="13"/>
  <c r="G26" i="13"/>
  <c r="H26" i="13"/>
  <c r="G7" i="17"/>
  <c r="G8" i="17"/>
  <c r="G9" i="17"/>
  <c r="G10" i="17"/>
  <c r="G11" i="17"/>
  <c r="B8" i="17"/>
  <c r="B9" i="17"/>
  <c r="B10" i="17"/>
  <c r="H11" i="17"/>
  <c r="C17" i="17"/>
  <c r="G6" i="12"/>
  <c r="B7" i="12"/>
  <c r="F7" i="12"/>
  <c r="I7" i="12"/>
  <c r="D6" i="15"/>
  <c r="G7" i="12"/>
  <c r="B8" i="12"/>
  <c r="G8" i="12"/>
  <c r="B9" i="12"/>
  <c r="G9" i="12"/>
  <c r="G10" i="12"/>
  <c r="G11" i="12"/>
  <c r="E12" i="12"/>
  <c r="E5" i="4"/>
  <c r="H12" i="12"/>
  <c r="C11" i="14"/>
  <c r="D11" i="14"/>
  <c r="E11" i="14"/>
  <c r="B14" i="14"/>
  <c r="C14" i="14"/>
  <c r="E14" i="14"/>
  <c r="B28" i="14"/>
  <c r="D28" i="14"/>
  <c r="E28" i="14"/>
  <c r="B34" i="14"/>
  <c r="C34" i="14"/>
  <c r="D34" i="14"/>
  <c r="B7" i="11"/>
  <c r="G7" i="11"/>
  <c r="G8" i="11"/>
  <c r="G9" i="11"/>
  <c r="G10" i="11"/>
  <c r="G11" i="11"/>
  <c r="G12" i="11"/>
  <c r="B8" i="11"/>
  <c r="B9" i="11"/>
  <c r="B10" i="11"/>
  <c r="B15" i="11"/>
  <c r="G15" i="11"/>
  <c r="G16" i="11"/>
  <c r="E16" i="11"/>
  <c r="H16" i="11"/>
  <c r="B19" i="11"/>
  <c r="G19" i="11"/>
  <c r="B20" i="11"/>
  <c r="G20" i="11"/>
  <c r="B21" i="11"/>
  <c r="G21" i="11"/>
  <c r="B22" i="11"/>
  <c r="G22" i="11"/>
  <c r="F20" i="14"/>
  <c r="G23" i="11"/>
  <c r="B24" i="11"/>
  <c r="G24" i="11"/>
  <c r="G25" i="11"/>
  <c r="B26" i="11"/>
  <c r="G26" i="11"/>
  <c r="B27" i="11"/>
  <c r="B28" i="11"/>
  <c r="G28" i="11"/>
  <c r="B29" i="11"/>
  <c r="G29" i="11"/>
  <c r="B30" i="11"/>
  <c r="F30" i="11"/>
  <c r="I30" i="11"/>
  <c r="C27" i="14"/>
  <c r="F27" i="14"/>
  <c r="D30" i="11"/>
  <c r="G30" i="11"/>
  <c r="H31" i="11"/>
  <c r="B34" i="11"/>
  <c r="G34" i="11"/>
  <c r="B35" i="11"/>
  <c r="G35" i="11"/>
  <c r="G36" i="11"/>
  <c r="G37" i="11"/>
  <c r="G38" i="11"/>
  <c r="B37" i="11"/>
  <c r="F37" i="11"/>
  <c r="I37" i="11"/>
  <c r="E33" i="14"/>
  <c r="F33" i="14"/>
  <c r="D37" i="11"/>
  <c r="E38" i="11"/>
  <c r="H38" i="11"/>
  <c r="B43" i="11"/>
  <c r="B5" i="4"/>
  <c r="B6" i="4"/>
  <c r="B7" i="4"/>
  <c r="B8" i="4"/>
  <c r="D9" i="4"/>
  <c r="F9" i="4"/>
  <c r="H9" i="4"/>
  <c r="J9" i="4"/>
  <c r="B12" i="4"/>
  <c r="F12" i="4"/>
  <c r="G12" i="4"/>
  <c r="C28" i="4"/>
  <c r="B36" i="4"/>
  <c r="C36" i="4"/>
  <c r="B40" i="4"/>
  <c r="B5" i="18"/>
  <c r="D20" i="1"/>
  <c r="B19" i="2"/>
  <c r="B12" i="2"/>
  <c r="D17" i="3"/>
  <c r="D32" i="1"/>
  <c r="D24" i="1"/>
  <c r="D17" i="1"/>
  <c r="D10" i="1"/>
  <c r="D20" i="3"/>
  <c r="D9" i="1"/>
  <c r="B12" i="1"/>
  <c r="B33" i="1"/>
  <c r="D7" i="3"/>
  <c r="B9" i="3"/>
  <c r="C12" i="2"/>
  <c r="D16" i="3"/>
  <c r="B21" i="3"/>
  <c r="D11" i="3"/>
  <c r="C13" i="3"/>
  <c r="D33" i="1"/>
  <c r="C28" i="1"/>
  <c r="D14" i="1"/>
  <c r="C19" i="2"/>
  <c r="D11" i="2"/>
  <c r="D7" i="2"/>
  <c r="D24" i="3"/>
  <c r="C33" i="1"/>
  <c r="C34" i="1"/>
  <c r="D27" i="1"/>
  <c r="D23" i="1"/>
  <c r="D19" i="1"/>
  <c r="D18" i="2"/>
  <c r="D15" i="3"/>
  <c r="C21" i="3"/>
  <c r="D12" i="3"/>
  <c r="B13" i="3"/>
  <c r="D19" i="2"/>
  <c r="B25" i="3"/>
  <c r="D12" i="1"/>
  <c r="C24" i="4"/>
  <c r="D24" i="4"/>
  <c r="D21" i="3"/>
  <c r="D13" i="3"/>
  <c r="B34" i="1"/>
  <c r="D15" i="1"/>
  <c r="D12" i="2"/>
  <c r="C26" i="4"/>
  <c r="D26" i="4"/>
  <c r="C25" i="3"/>
  <c r="C25" i="4"/>
  <c r="D28" i="1"/>
  <c r="D9" i="3"/>
  <c r="D25" i="3"/>
  <c r="D34" i="1"/>
  <c r="C27" i="4"/>
  <c r="G27" i="13"/>
  <c r="B10" i="12"/>
  <c r="B6" i="12"/>
  <c r="B11" i="12"/>
  <c r="B12" i="12"/>
  <c r="B7" i="17"/>
  <c r="B25" i="11"/>
  <c r="E24" i="3"/>
  <c r="B4" i="4"/>
  <c r="E19" i="2"/>
  <c r="E26" i="4"/>
  <c r="B16" i="11"/>
  <c r="E33" i="1"/>
  <c r="F16" i="13"/>
  <c r="I16" i="13"/>
  <c r="F20" i="11"/>
  <c r="I20" i="11"/>
  <c r="C17" i="14"/>
  <c r="F17" i="14"/>
  <c r="F8" i="17"/>
  <c r="I8" i="17"/>
  <c r="D27" i="4"/>
  <c r="F24" i="3"/>
  <c r="E9" i="17"/>
  <c r="E11" i="17"/>
  <c r="E6" i="4"/>
  <c r="F24" i="13"/>
  <c r="I24" i="13"/>
  <c r="I26" i="13"/>
  <c r="B26" i="13"/>
  <c r="F13" i="3"/>
  <c r="E12" i="11"/>
  <c r="F18" i="13"/>
  <c r="I18" i="13"/>
  <c r="F19" i="2"/>
  <c r="E15" i="1"/>
  <c r="B30" i="4"/>
  <c r="F9" i="17"/>
  <c r="I9" i="17"/>
  <c r="F26" i="13"/>
  <c r="F21" i="3"/>
  <c r="F17" i="13"/>
  <c r="D25" i="4"/>
  <c r="D28" i="4"/>
  <c r="D30" i="4"/>
  <c r="D32" i="4"/>
  <c r="D36" i="4"/>
  <c r="H12" i="4"/>
  <c r="J12" i="4"/>
  <c r="C30" i="4"/>
  <c r="C32" i="4"/>
  <c r="F26" i="4"/>
  <c r="E40" i="11"/>
  <c r="E4" i="4"/>
  <c r="I17" i="13"/>
  <c r="F7" i="17"/>
  <c r="I7" i="17"/>
  <c r="F10" i="17"/>
  <c r="I10" i="17"/>
  <c r="I11" i="17"/>
  <c r="F11" i="12"/>
  <c r="I11" i="12"/>
  <c r="C10" i="15"/>
  <c r="E10" i="15"/>
  <c r="B38" i="11"/>
  <c r="F35" i="11"/>
  <c r="I35" i="11"/>
  <c r="E31" i="14"/>
  <c r="F31" i="14"/>
  <c r="G31" i="11"/>
  <c r="G40" i="11"/>
  <c r="F11" i="11"/>
  <c r="I11" i="11"/>
  <c r="B10" i="14"/>
  <c r="F10" i="14"/>
  <c r="B12" i="11"/>
  <c r="B31" i="11"/>
  <c r="B40" i="11"/>
  <c r="F9" i="11"/>
  <c r="I9" i="11"/>
  <c r="B8" i="14"/>
  <c r="F8" i="14"/>
  <c r="E6" i="15"/>
  <c r="D11" i="15"/>
  <c r="F27" i="11"/>
  <c r="I27" i="11"/>
  <c r="C24" i="14"/>
  <c r="F24" i="14"/>
  <c r="E28" i="4"/>
  <c r="F28" i="4"/>
  <c r="F29" i="11"/>
  <c r="I29" i="11"/>
  <c r="C26" i="14"/>
  <c r="F26" i="14"/>
  <c r="F15" i="11"/>
  <c r="F12" i="1"/>
  <c r="B11" i="17"/>
  <c r="F24" i="11"/>
  <c r="I24" i="11"/>
  <c r="C21" i="14"/>
  <c r="F21" i="14"/>
  <c r="F12" i="2"/>
  <c r="B32" i="4"/>
  <c r="F26" i="11"/>
  <c r="I26" i="11"/>
  <c r="C23" i="14"/>
  <c r="F23" i="14"/>
  <c r="F10" i="11"/>
  <c r="F8" i="11"/>
  <c r="I8" i="11"/>
  <c r="B7" i="14"/>
  <c r="F7" i="14"/>
  <c r="F9" i="12"/>
  <c r="I9" i="12"/>
  <c r="C8" i="15"/>
  <c r="E8" i="15"/>
  <c r="E12" i="2"/>
  <c r="E25" i="4"/>
  <c r="F25" i="4"/>
  <c r="F21" i="13"/>
  <c r="I21" i="13"/>
  <c r="F9" i="3"/>
  <c r="F25" i="3"/>
  <c r="E21" i="3"/>
  <c r="F10" i="12"/>
  <c r="I10" i="12"/>
  <c r="B9" i="15"/>
  <c r="E9" i="15"/>
  <c r="B11" i="4"/>
  <c r="B13" i="4"/>
  <c r="G12" i="12"/>
  <c r="B22" i="13"/>
  <c r="B27" i="13"/>
  <c r="F22" i="11"/>
  <c r="I22" i="11"/>
  <c r="C19" i="14"/>
  <c r="F19" i="14"/>
  <c r="F34" i="11"/>
  <c r="F25" i="11"/>
  <c r="I25" i="11"/>
  <c r="C22" i="14"/>
  <c r="F22" i="14"/>
  <c r="F28" i="11"/>
  <c r="I28" i="11"/>
  <c r="C25" i="14"/>
  <c r="F25" i="14"/>
  <c r="F8" i="12"/>
  <c r="I8" i="12"/>
  <c r="C7" i="15"/>
  <c r="F33" i="1"/>
  <c r="E28" i="1"/>
  <c r="E34" i="1"/>
  <c r="E24" i="4"/>
  <c r="E13" i="3"/>
  <c r="E25" i="3"/>
  <c r="E27" i="4"/>
  <c r="F27" i="4"/>
  <c r="E30" i="4"/>
  <c r="E32" i="4"/>
  <c r="F24" i="4"/>
  <c r="F30" i="4"/>
  <c r="F32" i="4"/>
  <c r="F28" i="1"/>
  <c r="F34" i="1"/>
  <c r="F19" i="11"/>
  <c r="I34" i="11"/>
  <c r="F38" i="11"/>
  <c r="F16" i="11"/>
  <c r="I15" i="11"/>
  <c r="F43" i="11"/>
  <c r="G43" i="11"/>
  <c r="F8" i="4"/>
  <c r="H8" i="4"/>
  <c r="J8" i="4"/>
  <c r="C11" i="15"/>
  <c r="E7" i="15"/>
  <c r="F7" i="13"/>
  <c r="F21" i="11"/>
  <c r="I21" i="11"/>
  <c r="C18" i="14"/>
  <c r="F18" i="14"/>
  <c r="F11" i="17"/>
  <c r="F6" i="12"/>
  <c r="I16" i="11"/>
  <c r="D13" i="14"/>
  <c r="I38" i="11"/>
  <c r="E30" i="14"/>
  <c r="F14" i="13"/>
  <c r="F9" i="13"/>
  <c r="F7" i="4"/>
  <c r="H7" i="4"/>
  <c r="J7" i="4"/>
  <c r="F7" i="11"/>
  <c r="I19" i="11"/>
  <c r="C16" i="14"/>
  <c r="F16" i="14"/>
  <c r="F31" i="11"/>
  <c r="I20" i="13"/>
  <c r="I22" i="13"/>
  <c r="F22" i="13"/>
  <c r="F5" i="4"/>
  <c r="H5" i="4"/>
  <c r="J5" i="4"/>
  <c r="C13" i="4"/>
  <c r="F4" i="4"/>
  <c r="F13" i="14"/>
  <c r="F14" i="14"/>
  <c r="D14" i="14"/>
  <c r="D35" i="14"/>
  <c r="F12" i="11"/>
  <c r="F40" i="11"/>
  <c r="I7" i="11"/>
  <c r="F30" i="14"/>
  <c r="F34" i="14"/>
  <c r="E34" i="14"/>
  <c r="E35" i="14"/>
  <c r="F12" i="12"/>
  <c r="E12" i="15"/>
  <c r="I6" i="12"/>
  <c r="F27" i="13"/>
  <c r="I12" i="12"/>
  <c r="B5" i="15"/>
  <c r="B6" i="14"/>
  <c r="F6" i="14"/>
  <c r="E5" i="15"/>
  <c r="E11" i="15"/>
  <c r="B11" i="15"/>
  <c r="E11" i="4"/>
  <c r="E13" i="4"/>
  <c r="J15" i="4"/>
  <c r="J17" i="4"/>
  <c r="J19" i="4"/>
  <c r="F6" i="4"/>
  <c r="I31" i="11"/>
  <c r="F28" i="14"/>
  <c r="C28" i="14"/>
  <c r="C35" i="14"/>
  <c r="H40" i="11"/>
  <c r="I10" i="11"/>
  <c r="G4" i="4"/>
  <c r="H6" i="4"/>
  <c r="J6" i="4"/>
  <c r="F11" i="4"/>
  <c r="F13" i="4"/>
  <c r="I12" i="11"/>
  <c r="I40" i="11"/>
  <c r="B9" i="14"/>
  <c r="G11" i="4"/>
  <c r="G13" i="4"/>
  <c r="H4" i="4"/>
  <c r="B11" i="14"/>
  <c r="B35" i="14"/>
  <c r="F9" i="14"/>
  <c r="F11" i="14"/>
  <c r="F35" i="14"/>
  <c r="J4" i="4"/>
  <c r="J11" i="4"/>
  <c r="J13" i="4"/>
  <c r="H11" i="4"/>
  <c r="H13" i="4"/>
  <c r="H9" i="13"/>
  <c r="H27" i="13"/>
  <c r="I7" i="13"/>
  <c r="I9" i="13"/>
  <c r="I27" i="13"/>
</calcChain>
</file>

<file path=xl/sharedStrings.xml><?xml version="1.0" encoding="utf-8"?>
<sst xmlns="http://schemas.openxmlformats.org/spreadsheetml/2006/main" count="435" uniqueCount="211">
  <si>
    <t>Energy Efficiency Programs</t>
  </si>
  <si>
    <t>NJBPU</t>
  </si>
  <si>
    <t>Approved</t>
  </si>
  <si>
    <t>Expenses</t>
  </si>
  <si>
    <t>Existing Programs</t>
  </si>
  <si>
    <t>Carry Over</t>
  </si>
  <si>
    <t>Residential  EE Programs</t>
  </si>
  <si>
    <t>(a)</t>
  </si>
  <si>
    <t>(b)</t>
  </si>
  <si>
    <t>(c) = (a) - (b)</t>
  </si>
  <si>
    <t>(d)</t>
  </si>
  <si>
    <t>Residential HVAC - Electric &amp; Gas</t>
  </si>
  <si>
    <t>Residential New Construction</t>
  </si>
  <si>
    <t>Home Performance with Energy Star</t>
  </si>
  <si>
    <t>Residential Low Income</t>
  </si>
  <si>
    <t xml:space="preserve">  Comfort Partners</t>
  </si>
  <si>
    <t>Sub Total Residential</t>
  </si>
  <si>
    <t>C&amp;I EE Programs</t>
  </si>
  <si>
    <t>CHP</t>
  </si>
  <si>
    <t>Sub Total C&amp;I</t>
  </si>
  <si>
    <t>Other EE Programs</t>
  </si>
  <si>
    <t>Sub Total Other Energy Efficiency Programs</t>
  </si>
  <si>
    <t>Total Energy Efficiency</t>
  </si>
  <si>
    <t>Renewable Energy Programs</t>
  </si>
  <si>
    <t xml:space="preserve">Customer On-Site Renewable Energy </t>
  </si>
  <si>
    <t xml:space="preserve">Clean Power Choice </t>
  </si>
  <si>
    <t>SUB-TOTAL Renewables</t>
  </si>
  <si>
    <t>EDA PROGRAMS</t>
  </si>
  <si>
    <t>Total</t>
  </si>
  <si>
    <t>Actual</t>
  </si>
  <si>
    <t>Carryover from</t>
  </si>
  <si>
    <t>Difference =</t>
  </si>
  <si>
    <t xml:space="preserve">Additional </t>
  </si>
  <si>
    <t>Carryover</t>
  </si>
  <si>
    <t>OCE Oversight</t>
  </si>
  <si>
    <t>(e) = (c) - (d)</t>
  </si>
  <si>
    <t>Programs</t>
  </si>
  <si>
    <t>Energy Efficient Products</t>
  </si>
  <si>
    <t>Direct Install</t>
  </si>
  <si>
    <t>Memberships-Dues</t>
  </si>
  <si>
    <t xml:space="preserve">  Clean Energy States Alliance</t>
  </si>
  <si>
    <t xml:space="preserve">  Rutgers-CEEEP</t>
  </si>
  <si>
    <t xml:space="preserve">  Funding Reconciliation</t>
  </si>
  <si>
    <t>Sub-Total: Evaluation and Related Research</t>
  </si>
  <si>
    <t>Sub-Total: Marketing and Communications</t>
  </si>
  <si>
    <t>EDA</t>
  </si>
  <si>
    <t>EDA Interest and Loan Repayments</t>
  </si>
  <si>
    <t>(c)</t>
  </si>
  <si>
    <t>Difference = Additional Carry Over</t>
  </si>
  <si>
    <t>Additional Carry Over</t>
  </si>
  <si>
    <t>Administration and Overhead</t>
  </si>
  <si>
    <t xml:space="preserve">  Consortium for Energy Efficiency</t>
  </si>
  <si>
    <t>Evaluation and Related Research</t>
  </si>
  <si>
    <t xml:space="preserve">  O&amp;M Scoping Study/Online Academy</t>
  </si>
  <si>
    <t>Marketing and Communications</t>
  </si>
  <si>
    <t xml:space="preserve">  Outreach and Education/Community Partner Grants</t>
  </si>
  <si>
    <t>TOTAL: Administration</t>
  </si>
  <si>
    <t xml:space="preserve"> </t>
  </si>
  <si>
    <t>Pay-for-Performance</t>
  </si>
  <si>
    <t>Sub Total Low Income</t>
  </si>
  <si>
    <t>TEACH</t>
  </si>
  <si>
    <t>Marketing</t>
  </si>
  <si>
    <t xml:space="preserve">Offshore Wind </t>
  </si>
  <si>
    <t>Renewable Energy Program: Grid Connected (Formerly REDI)</t>
  </si>
  <si>
    <t xml:space="preserve">  Program Evaluation </t>
  </si>
  <si>
    <t>Honeywell</t>
  </si>
  <si>
    <t>TRC</t>
  </si>
  <si>
    <t>Utilities</t>
  </si>
  <si>
    <t>OCE/EDA</t>
  </si>
  <si>
    <t>Offshore Wind</t>
  </si>
  <si>
    <t>Sub Total Low-Income</t>
  </si>
  <si>
    <t xml:space="preserve">  Other Studies</t>
  </si>
  <si>
    <t xml:space="preserve">  Financial Audits</t>
  </si>
  <si>
    <t>Renewable Energy Incentive Program</t>
  </si>
  <si>
    <t>Comfort Partners</t>
  </si>
  <si>
    <t>C&amp;I New Construction</t>
  </si>
  <si>
    <t>C&amp;I Retrofit</t>
  </si>
  <si>
    <t>Pay-for-Performance New Construction</t>
  </si>
  <si>
    <t>Local Government Energy Audit</t>
  </si>
  <si>
    <t>Total: RE Revenues</t>
  </si>
  <si>
    <t>Difference</t>
  </si>
  <si>
    <t>Residential Marketing</t>
  </si>
  <si>
    <t>Competitive Grant-Loan Solicitation</t>
  </si>
  <si>
    <t>Edison Innovation Clean Energy Fund (formerly CST)</t>
  </si>
  <si>
    <t>Total EDA Programs</t>
  </si>
  <si>
    <t>Edison Innovation Green Growth Fund</t>
  </si>
  <si>
    <t>EE Revolving Loan Fund</t>
  </si>
  <si>
    <t>EDA Programs</t>
  </si>
  <si>
    <t>Legislative Action</t>
  </si>
  <si>
    <t>TRUE Grant</t>
  </si>
  <si>
    <t>Sustainable Jersey</t>
  </si>
  <si>
    <t>OCE</t>
  </si>
  <si>
    <t>Green Jobs and Building Code Training</t>
  </si>
  <si>
    <t>True Grant</t>
  </si>
  <si>
    <t>Large Energy Users Pilot</t>
  </si>
  <si>
    <t>Clean Energy Manufacturing Fund</t>
  </si>
  <si>
    <t>Revised 2012 Funding Levels</t>
  </si>
  <si>
    <t>2012 Budget From 12/20/11 Board Order</t>
  </si>
  <si>
    <t>2011 Final Budget from 11/30/11 Order</t>
  </si>
  <si>
    <t>Actual 2011 Expenses</t>
  </si>
  <si>
    <t>Actual 2011 Carry Over</t>
  </si>
  <si>
    <t>Revised 2012 Budget</t>
  </si>
  <si>
    <t>2011 Additional Carry Over</t>
  </si>
  <si>
    <t>Estimated Carry Over from 2012 Budget Order</t>
  </si>
  <si>
    <t>Revised 2012 Energy Efficiency Program Budget</t>
  </si>
  <si>
    <t>Board Approved 2012 Budget</t>
  </si>
  <si>
    <t>Revised 2012 Energy Efficiency Program Budget by Program Manager</t>
  </si>
  <si>
    <t>Revised 2012 Renewable Energy Program Budget</t>
  </si>
  <si>
    <t>Revised 2012 Renewable Energy Program Budget by Program Manager</t>
  </si>
  <si>
    <t>Revised 2012 EDA Program Budget</t>
  </si>
  <si>
    <t>Estimated 2011 Revenues</t>
  </si>
  <si>
    <t>Actual 2011 Revenues</t>
  </si>
  <si>
    <t>EDA Actual 2011 Revenues</t>
  </si>
  <si>
    <t>Revised 2012 OCE Oversight Budget</t>
  </si>
  <si>
    <t>2011 Energy Efficiency Program Budget</t>
  </si>
  <si>
    <t>2011 Budget</t>
  </si>
  <si>
    <t>Estimated 2011</t>
  </si>
  <si>
    <t>2012 Budget Order</t>
  </si>
  <si>
    <t>2011 Renewable Energy Program Budget</t>
  </si>
  <si>
    <t>2011 OCE Oversight Budget</t>
  </si>
  <si>
    <t>OCE ADMINISTRATION AND OVERHEAD</t>
  </si>
  <si>
    <t xml:space="preserve">   OCE Staff and Overhead</t>
  </si>
  <si>
    <t xml:space="preserve">   Program Coordinator</t>
  </si>
  <si>
    <t>MEMBERSHIPS-DUES</t>
  </si>
  <si>
    <t xml:space="preserve">   Clean Energy States Alliance</t>
  </si>
  <si>
    <t xml:space="preserve">   Consortium for Energy Efficiency</t>
  </si>
  <si>
    <t>OCE EVALUATION AND RELATED RESEARCH</t>
  </si>
  <si>
    <t xml:space="preserve">   Rutgers-CEEEP</t>
  </si>
  <si>
    <t xml:space="preserve">   Funding Reconciliation</t>
  </si>
  <si>
    <t xml:space="preserve">   O&amp;M Scoping Study/Online Academy</t>
  </si>
  <si>
    <t xml:space="preserve">   Other Studies</t>
  </si>
  <si>
    <t xml:space="preserve">   Program Evaluation</t>
  </si>
  <si>
    <t xml:space="preserve">   Financial Audits</t>
  </si>
  <si>
    <t>OCE MARKET AND COMMUNICATIONS</t>
  </si>
  <si>
    <t xml:space="preserve">   Outreach and Education/Community Partner Grants</t>
  </si>
  <si>
    <t>TOTAL</t>
  </si>
  <si>
    <t>TOTAL Renewables</t>
  </si>
  <si>
    <t>2011 EDA Program Budget</t>
  </si>
  <si>
    <t>TOTAL EDA Programs</t>
  </si>
  <si>
    <t>Edison Innovation Clean Energy Manufacturing Fund (CEMF)</t>
  </si>
  <si>
    <t>Edison Innovation Green Growth Fund (EIGGF)</t>
  </si>
  <si>
    <t>EE Revolving Loan Fund (EERLF)</t>
  </si>
  <si>
    <t>Multi-Family Financing Pilot</t>
  </si>
  <si>
    <t>Competitive Grant/Loan Solicitation</t>
  </si>
  <si>
    <t>Sub-Total: OCE Administration and Overhead</t>
  </si>
  <si>
    <t xml:space="preserve">  OCE Staff and Overhead</t>
  </si>
  <si>
    <t xml:space="preserve">  Program Coordinator</t>
  </si>
  <si>
    <t>Sub-Total: Memberships-Dues</t>
  </si>
  <si>
    <t xml:space="preserve">  2012 Sponsorships</t>
  </si>
  <si>
    <t xml:space="preserve">  Clean Energy Business Web Site</t>
  </si>
  <si>
    <t>Large CHP Soliciatation</t>
  </si>
  <si>
    <t>New Financing Programs</t>
  </si>
  <si>
    <t>Retrocommissioning</t>
  </si>
  <si>
    <t xml:space="preserve">Trust Fund Interest </t>
  </si>
  <si>
    <t>Estimated 2011 Interest</t>
  </si>
  <si>
    <t>Additional 2011 Interest</t>
  </si>
  <si>
    <t>(f)</t>
  </si>
  <si>
    <t>Line Item Transfers</t>
  </si>
  <si>
    <t>Budget Reduction</t>
  </si>
  <si>
    <t>(e)=(a)+(b)+(c)+(d)</t>
  </si>
  <si>
    <t>Additional Interest</t>
  </si>
  <si>
    <t>Fund</t>
  </si>
  <si>
    <t>Interest</t>
  </si>
  <si>
    <t>Loan</t>
  </si>
  <si>
    <t>Principal Repayment</t>
  </si>
  <si>
    <t>Late</t>
  </si>
  <si>
    <t>Fees</t>
  </si>
  <si>
    <t>Grant</t>
  </si>
  <si>
    <t>Repayment</t>
  </si>
  <si>
    <t>Total: EDA Revenues</t>
  </si>
  <si>
    <t>equals: -additional carry over plus additional revenues</t>
  </si>
  <si>
    <t>Budget Reductions</t>
  </si>
  <si>
    <t xml:space="preserve">Line Item Transfers </t>
  </si>
  <si>
    <t>Additional Carryover + Additional Interest</t>
  </si>
  <si>
    <t>Commitments as of 6/29/12</t>
  </si>
  <si>
    <t>Additional 2013 Funding</t>
  </si>
  <si>
    <t>Total:2012-2013 Budget</t>
  </si>
  <si>
    <t>Available 2013 Funds</t>
  </si>
  <si>
    <t>Total 2012+ 6 Months 2013 Budget</t>
  </si>
  <si>
    <t>Budget Lapse</t>
  </si>
  <si>
    <t>Note:  FY12 Lapse included an additional $52.5 M that was previously included in the BPU approved 2012 budget</t>
  </si>
  <si>
    <t>Total FY13 lapse ($42.5 M + $89 M)</t>
  </si>
  <si>
    <t>Additional FY12 Lapse- see note</t>
  </si>
  <si>
    <t>(g)</t>
  </si>
  <si>
    <t>(h)=(e)+(g)</t>
  </si>
  <si>
    <t>Total w Legislative Action</t>
  </si>
  <si>
    <t>Total Available 2013 Funds</t>
  </si>
  <si>
    <t>Allocation of 2013 Available Funding</t>
  </si>
  <si>
    <t>Res EE</t>
  </si>
  <si>
    <t>Low Income</t>
  </si>
  <si>
    <t>C&amp;I EE</t>
  </si>
  <si>
    <t>Other EE</t>
  </si>
  <si>
    <t>SEO</t>
  </si>
  <si>
    <t>RE</t>
  </si>
  <si>
    <t>Preliminary Expenses plus Commitments as of June 30, 2012</t>
  </si>
  <si>
    <t>Available Funds for the Period July 1, 2012-June 30, 2013</t>
  </si>
  <si>
    <t>(g)=(e)+(f)</t>
  </si>
  <si>
    <t>Total EE</t>
  </si>
  <si>
    <t>(h)</t>
  </si>
  <si>
    <t>(i)=(g)-(h)</t>
  </si>
  <si>
    <t>State Energy Office</t>
  </si>
  <si>
    <t>Budget reduction (d)</t>
  </si>
  <si>
    <t>Line Item transfers (c)</t>
  </si>
  <si>
    <t>New 2013 funding available to allocate to programs</t>
  </si>
  <si>
    <t>Total 2013 funding available to allocate to programs (f)</t>
  </si>
  <si>
    <t>Total Available</t>
  </si>
  <si>
    <t>2013 new Funding (6 months)</t>
  </si>
  <si>
    <t>Less 2013 New Funding to Legislative Action</t>
  </si>
  <si>
    <t>Equals 2013 Funding Available to allocate to programs</t>
  </si>
  <si>
    <t>Additional 2013 Funding Plus 2012 Carry Over</t>
  </si>
  <si>
    <t>Difference = 2012 carry over available to allocate to 2013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</si>
</sst>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#,##0.000_);\(#,##0.000\)"/>
    <numFmt numFmtId="166" formatCode="&quot;$&quot;#,##0.00"/>
    <numFmt numFmtId="167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1F497D"/>
      <name val="Calibri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65" fontId="1" fillId="0" borderId="0" applyAlignment="0"/>
    <xf numFmtId="0" fontId="12" fillId="0" borderId="0"/>
    <xf numFmtId="0" fontId="17" fillId="0" borderId="0"/>
    <xf numFmtId="0" fontId="1" fillId="0" borderId="0">
      <alignment vertical="top"/>
    </xf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4" fillId="0" borderId="1" xfId="5" applyFont="1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7" fillId="0" borderId="1" xfId="5" applyFont="1" applyFill="1" applyBorder="1" applyAlignment="1">
      <alignment horizontal="center"/>
    </xf>
    <xf numFmtId="0" fontId="5" fillId="0" borderId="1" xfId="4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/>
    </xf>
    <xf numFmtId="0" fontId="8" fillId="0" borderId="1" xfId="4" applyFont="1" applyFill="1" applyBorder="1" applyAlignment="1">
      <alignment wrapText="1"/>
    </xf>
    <xf numFmtId="0" fontId="5" fillId="0" borderId="1" xfId="0" applyFont="1" applyFill="1" applyBorder="1"/>
    <xf numFmtId="0" fontId="0" fillId="0" borderId="0" xfId="0" applyFill="1" applyBorder="1"/>
    <xf numFmtId="0" fontId="5" fillId="0" borderId="1" xfId="0" applyFont="1" applyBorder="1"/>
    <xf numFmtId="0" fontId="7" fillId="0" borderId="2" xfId="4" applyFont="1" applyFill="1" applyBorder="1" applyAlignment="1">
      <alignment wrapText="1"/>
    </xf>
    <xf numFmtId="164" fontId="5" fillId="0" borderId="2" xfId="0" applyNumberFormat="1" applyFont="1" applyFill="1" applyBorder="1"/>
    <xf numFmtId="0" fontId="5" fillId="0" borderId="0" xfId="0" applyFont="1"/>
    <xf numFmtId="0" fontId="9" fillId="0" borderId="0" xfId="0" applyFont="1"/>
    <xf numFmtId="166" fontId="0" fillId="0" borderId="0" xfId="0" applyNumberFormat="1"/>
    <xf numFmtId="8" fontId="0" fillId="0" borderId="0" xfId="0" applyNumberFormat="1"/>
    <xf numFmtId="0" fontId="0" fillId="0" borderId="0" xfId="0" applyFill="1"/>
    <xf numFmtId="0" fontId="0" fillId="0" borderId="3" xfId="0" applyFill="1" applyBorder="1"/>
    <xf numFmtId="0" fontId="5" fillId="0" borderId="4" xfId="0" applyFont="1" applyBorder="1"/>
    <xf numFmtId="0" fontId="5" fillId="0" borderId="3" xfId="5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6" fontId="0" fillId="0" borderId="0" xfId="0" applyNumberFormat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9" fillId="0" borderId="1" xfId="4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5" applyFont="1" applyFill="1" applyBorder="1"/>
    <xf numFmtId="0" fontId="6" fillId="0" borderId="1" xfId="0" applyFont="1" applyFill="1" applyBorder="1"/>
    <xf numFmtId="0" fontId="5" fillId="0" borderId="4" xfId="5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8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/>
    <xf numFmtId="8" fontId="0" fillId="0" borderId="1" xfId="0" applyNumberFormat="1" applyFill="1" applyBorder="1"/>
    <xf numFmtId="8" fontId="9" fillId="0" borderId="1" xfId="0" applyNumberFormat="1" applyFont="1" applyFill="1" applyBorder="1"/>
    <xf numFmtId="8" fontId="9" fillId="0" borderId="1" xfId="4" applyNumberFormat="1" applyFont="1" applyFill="1" applyBorder="1" applyAlignment="1">
      <alignment horizontal="right"/>
    </xf>
    <xf numFmtId="8" fontId="9" fillId="0" borderId="2" xfId="0" applyNumberFormat="1" applyFont="1" applyFill="1" applyBorder="1"/>
    <xf numFmtId="8" fontId="9" fillId="0" borderId="1" xfId="5" quotePrefix="1" applyNumberFormat="1" applyFont="1" applyFill="1" applyBorder="1"/>
    <xf numFmtId="8" fontId="9" fillId="0" borderId="2" xfId="5" quotePrefix="1" applyNumberFormat="1" applyFont="1" applyFill="1" applyBorder="1"/>
    <xf numFmtId="8" fontId="5" fillId="0" borderId="2" xfId="5" quotePrefix="1" applyNumberFormat="1" applyFont="1" applyFill="1" applyBorder="1"/>
    <xf numFmtId="8" fontId="5" fillId="0" borderId="2" xfId="0" applyNumberFormat="1" applyFont="1" applyFill="1" applyBorder="1"/>
    <xf numFmtId="8" fontId="5" fillId="0" borderId="1" xfId="0" applyNumberFormat="1" applyFont="1" applyFill="1" applyBorder="1"/>
    <xf numFmtId="8" fontId="9" fillId="0" borderId="1" xfId="5" applyNumberFormat="1" applyFont="1" applyFill="1" applyBorder="1" applyAlignment="1">
      <alignment horizontal="right"/>
    </xf>
    <xf numFmtId="8" fontId="5" fillId="0" borderId="1" xfId="5" applyNumberFormat="1" applyFont="1" applyFill="1" applyBorder="1" applyAlignment="1">
      <alignment horizontal="right"/>
    </xf>
    <xf numFmtId="8" fontId="5" fillId="0" borderId="0" xfId="0" applyNumberFormat="1" applyFont="1" applyFill="1" applyBorder="1"/>
    <xf numFmtId="0" fontId="4" fillId="0" borderId="1" xfId="6" applyFont="1" applyFill="1" applyBorder="1"/>
    <xf numFmtId="0" fontId="7" fillId="0" borderId="1" xfId="6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0" borderId="1" xfId="6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5" xfId="6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8" fontId="9" fillId="0" borderId="1" xfId="6" applyNumberFormat="1" applyFont="1" applyFill="1" applyBorder="1" applyAlignment="1">
      <alignment horizontal="right"/>
    </xf>
    <xf numFmtId="8" fontId="5" fillId="0" borderId="1" xfId="0" applyNumberFormat="1" applyFont="1" applyFill="1" applyBorder="1" applyAlignment="1">
      <alignment horizontal="right"/>
    </xf>
    <xf numFmtId="8" fontId="5" fillId="0" borderId="1" xfId="6" applyNumberFormat="1" applyFont="1" applyFill="1" applyBorder="1" applyAlignment="1">
      <alignment horizontal="right"/>
    </xf>
    <xf numFmtId="0" fontId="10" fillId="0" borderId="1" xfId="4" applyFont="1" applyFill="1" applyBorder="1" applyAlignment="1">
      <alignment wrapText="1"/>
    </xf>
    <xf numFmtId="8" fontId="5" fillId="0" borderId="1" xfId="5" quotePrefix="1" applyNumberFormat="1" applyFont="1" applyFill="1" applyBorder="1"/>
    <xf numFmtId="0" fontId="0" fillId="0" borderId="1" xfId="4" applyFont="1" applyFill="1" applyBorder="1" applyAlignment="1">
      <alignment wrapText="1"/>
    </xf>
    <xf numFmtId="8" fontId="9" fillId="0" borderId="1" xfId="0" applyNumberFormat="1" applyFont="1" applyFill="1" applyBorder="1" applyAlignment="1">
      <alignment horizontal="right"/>
    </xf>
    <xf numFmtId="8" fontId="9" fillId="0" borderId="1" xfId="0" applyNumberFormat="1" applyFont="1" applyBorder="1"/>
    <xf numFmtId="166" fontId="9" fillId="0" borderId="1" xfId="6" applyNumberFormat="1" applyFont="1" applyFill="1" applyBorder="1" applyAlignment="1">
      <alignment horizontal="right"/>
    </xf>
    <xf numFmtId="0" fontId="0" fillId="0" borderId="1" xfId="0" applyBorder="1"/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4" applyFont="1" applyFill="1" applyBorder="1" applyAlignment="1">
      <alignment wrapText="1"/>
    </xf>
    <xf numFmtId="0" fontId="5" fillId="0" borderId="5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8" fontId="9" fillId="0" borderId="1" xfId="0" applyNumberFormat="1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/>
    </xf>
    <xf numFmtId="0" fontId="5" fillId="0" borderId="1" xfId="5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7" fillId="0" borderId="1" xfId="0" applyFont="1" applyFill="1" applyBorder="1"/>
    <xf numFmtId="0" fontId="7" fillId="0" borderId="5" xfId="5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8" fontId="0" fillId="0" borderId="0" xfId="0" applyNumberFormat="1" applyFill="1"/>
    <xf numFmtId="0" fontId="6" fillId="0" borderId="1" xfId="4" applyFont="1" applyFill="1" applyBorder="1" applyAlignment="1">
      <alignment horizontal="center"/>
    </xf>
    <xf numFmtId="0" fontId="5" fillId="0" borderId="5" xfId="5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6" fontId="0" fillId="0" borderId="0" xfId="0" applyNumberFormat="1" applyFill="1"/>
    <xf numFmtId="6" fontId="0" fillId="0" borderId="0" xfId="0" applyNumberFormat="1" applyFill="1"/>
    <xf numFmtId="4" fontId="0" fillId="0" borderId="0" xfId="0" applyNumberFormat="1" applyFill="1" applyBorder="1"/>
    <xf numFmtId="0" fontId="5" fillId="0" borderId="1" xfId="2" applyFont="1" applyFill="1" applyBorder="1"/>
    <xf numFmtId="0" fontId="9" fillId="0" borderId="1" xfId="0" applyFont="1" applyBorder="1" applyAlignment="1">
      <alignment wrapText="1"/>
    </xf>
    <xf numFmtId="0" fontId="9" fillId="0" borderId="1" xfId="4" applyFont="1" applyFill="1" applyBorder="1" applyAlignment="1">
      <alignment vertical="center" wrapText="1"/>
    </xf>
    <xf numFmtId="8" fontId="5" fillId="0" borderId="1" xfId="0" applyNumberFormat="1" applyFont="1" applyBorder="1"/>
    <xf numFmtId="0" fontId="4" fillId="0" borderId="0" xfId="0" applyFont="1"/>
    <xf numFmtId="8" fontId="5" fillId="0" borderId="1" xfId="2" applyNumberFormat="1" applyFont="1" applyFill="1" applyBorder="1"/>
    <xf numFmtId="49" fontId="0" fillId="0" borderId="0" xfId="0" applyNumberFormat="1"/>
    <xf numFmtId="8" fontId="9" fillId="0" borderId="2" xfId="4" applyNumberFormat="1" applyFont="1" applyFill="1" applyBorder="1" applyAlignment="1">
      <alignment horizontal="right"/>
    </xf>
    <xf numFmtId="0" fontId="9" fillId="0" borderId="1" xfId="4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top"/>
    </xf>
    <xf numFmtId="166" fontId="9" fillId="0" borderId="1" xfId="0" applyNumberFormat="1" applyFont="1" applyFill="1" applyBorder="1"/>
    <xf numFmtId="0" fontId="0" fillId="0" borderId="0" xfId="0" applyBorder="1"/>
    <xf numFmtId="0" fontId="15" fillId="0" borderId="0" xfId="3" applyFont="1" applyBorder="1" applyAlignment="1"/>
    <xf numFmtId="0" fontId="9" fillId="0" borderId="0" xfId="4" applyFont="1" applyFill="1" applyBorder="1" applyAlignment="1"/>
    <xf numFmtId="0" fontId="10" fillId="0" borderId="0" xfId="3" applyFont="1" applyFill="1" applyBorder="1" applyAlignment="1">
      <alignment vertical="top"/>
    </xf>
    <xf numFmtId="0" fontId="9" fillId="0" borderId="2" xfId="4" applyFont="1" applyFill="1" applyBorder="1" applyAlignment="1">
      <alignment wrapText="1"/>
    </xf>
    <xf numFmtId="0" fontId="5" fillId="0" borderId="7" xfId="4" applyFont="1" applyFill="1" applyBorder="1" applyAlignment="1"/>
    <xf numFmtId="0" fontId="5" fillId="0" borderId="0" xfId="5" applyFont="1" applyFill="1" applyBorder="1" applyAlignment="1">
      <alignment horizontal="left"/>
    </xf>
    <xf numFmtId="0" fontId="5" fillId="0" borderId="1" xfId="4" applyFont="1" applyFill="1" applyBorder="1" applyAlignment="1"/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1" xfId="3" applyFont="1" applyBorder="1" applyAlignment="1"/>
    <xf numFmtId="0" fontId="9" fillId="0" borderId="1" xfId="4" applyFont="1" applyFill="1" applyBorder="1" applyAlignment="1"/>
    <xf numFmtId="0" fontId="10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wrapText="1"/>
    </xf>
    <xf numFmtId="0" fontId="5" fillId="0" borderId="0" xfId="4" applyFont="1" applyFill="1" applyBorder="1" applyAlignment="1"/>
    <xf numFmtId="0" fontId="10" fillId="0" borderId="0" xfId="0" applyFont="1" applyFill="1" applyBorder="1"/>
    <xf numFmtId="0" fontId="7" fillId="0" borderId="0" xfId="0" applyFont="1" applyFill="1" applyBorder="1"/>
    <xf numFmtId="0" fontId="9" fillId="0" borderId="6" xfId="4" applyFont="1" applyFill="1" applyBorder="1" applyAlignment="1"/>
    <xf numFmtId="0" fontId="9" fillId="0" borderId="8" xfId="4" applyFont="1" applyFill="1" applyBorder="1" applyAlignment="1"/>
    <xf numFmtId="0" fontId="7" fillId="0" borderId="1" xfId="0" applyFont="1" applyBorder="1"/>
    <xf numFmtId="0" fontId="7" fillId="0" borderId="0" xfId="0" applyFont="1"/>
    <xf numFmtId="0" fontId="5" fillId="0" borderId="0" xfId="0" applyFont="1" applyFill="1" applyBorder="1" applyAlignment="1">
      <alignment horizontal="center" vertical="center"/>
    </xf>
    <xf numFmtId="8" fontId="5" fillId="0" borderId="0" xfId="2" applyNumberFormat="1" applyFont="1" applyFill="1" applyBorder="1"/>
    <xf numFmtId="0" fontId="5" fillId="0" borderId="1" xfId="5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/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vertical="center" wrapText="1"/>
    </xf>
    <xf numFmtId="8" fontId="20" fillId="0" borderId="10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" fillId="0" borderId="0" xfId="0" applyFont="1"/>
    <xf numFmtId="166" fontId="5" fillId="0" borderId="0" xfId="0" applyNumberFormat="1" applyFont="1"/>
    <xf numFmtId="0" fontId="5" fillId="0" borderId="0" xfId="0" applyFont="1" applyAlignment="1">
      <alignment vertical="center" wrapText="1"/>
    </xf>
    <xf numFmtId="166" fontId="5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5" fillId="0" borderId="0" xfId="0" applyFont="1" applyBorder="1"/>
    <xf numFmtId="8" fontId="5" fillId="0" borderId="0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5" fillId="2" borderId="0" xfId="0" applyFont="1" applyFill="1" applyBorder="1"/>
    <xf numFmtId="8" fontId="5" fillId="2" borderId="0" xfId="0" applyNumberFormat="1" applyFont="1" applyFill="1" applyBorder="1"/>
    <xf numFmtId="166" fontId="0" fillId="2" borderId="0" xfId="0" applyNumberFormat="1" applyFill="1" applyBorder="1"/>
    <xf numFmtId="8" fontId="5" fillId="0" borderId="8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 wrapText="1"/>
    </xf>
    <xf numFmtId="8" fontId="5" fillId="0" borderId="0" xfId="0" applyNumberFormat="1" applyFont="1" applyBorder="1" applyAlignment="1">
      <alignment vertical="center"/>
    </xf>
    <xf numFmtId="8" fontId="5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/>
    <xf numFmtId="8" fontId="9" fillId="2" borderId="1" xfId="0" applyNumberFormat="1" applyFont="1" applyFill="1" applyBorder="1"/>
    <xf numFmtId="166" fontId="9" fillId="0" borderId="0" xfId="0" applyNumberFormat="1" applyFont="1"/>
    <xf numFmtId="8" fontId="9" fillId="0" borderId="1" xfId="4" applyNumberFormat="1" applyFont="1" applyFill="1" applyBorder="1" applyAlignment="1"/>
    <xf numFmtId="8" fontId="5" fillId="2" borderId="1" xfId="0" applyNumberFormat="1" applyFont="1" applyFill="1" applyBorder="1"/>
    <xf numFmtId="8" fontId="5" fillId="2" borderId="2" xfId="0" applyNumberFormat="1" applyFont="1" applyFill="1" applyBorder="1"/>
    <xf numFmtId="0" fontId="9" fillId="0" borderId="1" xfId="0" applyFont="1" applyBorder="1"/>
    <xf numFmtId="0" fontId="9" fillId="0" borderId="3" xfId="0" applyFont="1" applyFill="1" applyBorder="1" applyAlignment="1">
      <alignment horizontal="left"/>
    </xf>
    <xf numFmtId="8" fontId="0" fillId="2" borderId="3" xfId="0" applyNumberFormat="1" applyFill="1" applyBorder="1"/>
    <xf numFmtId="8" fontId="0" fillId="2" borderId="1" xfId="0" applyNumberFormat="1" applyFill="1" applyBorder="1"/>
    <xf numFmtId="0" fontId="5" fillId="0" borderId="0" xfId="0" applyFont="1" applyAlignment="1">
      <alignment horizontal="center" vertical="center"/>
    </xf>
    <xf numFmtId="8" fontId="9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8" fontId="23" fillId="0" borderId="1" xfId="4" applyNumberFormat="1" applyFont="1" applyFill="1" applyBorder="1" applyAlignment="1">
      <alignment horizontal="right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8" fontId="5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8" fontId="0" fillId="0" borderId="0" xfId="0" applyNumberFormat="1" applyFill="1" applyBorder="1"/>
    <xf numFmtId="8" fontId="5" fillId="0" borderId="0" xfId="0" applyNumberFormat="1" applyFont="1" applyBorder="1" applyAlignment="1">
      <alignment vertical="center" wrapText="1"/>
    </xf>
    <xf numFmtId="8" fontId="5" fillId="0" borderId="0" xfId="0" applyNumberFormat="1" applyFont="1" applyBorder="1" applyAlignment="1">
      <alignment horizontal="right" vertical="center"/>
    </xf>
    <xf numFmtId="8" fontId="16" fillId="0" borderId="0" xfId="0" applyNumberFormat="1" applyFont="1" applyBorder="1" applyAlignment="1">
      <alignment horizontal="right" vertical="center"/>
    </xf>
    <xf numFmtId="8" fontId="16" fillId="0" borderId="0" xfId="0" applyNumberFormat="1" applyFont="1" applyAlignment="1">
      <alignment vertical="center"/>
    </xf>
    <xf numFmtId="8" fontId="9" fillId="0" borderId="1" xfId="0" quotePrefix="1" applyNumberFormat="1" applyFont="1" applyBorder="1"/>
    <xf numFmtId="8" fontId="0" fillId="0" borderId="0" xfId="0" applyNumberFormat="1" applyBorder="1"/>
    <xf numFmtId="167" fontId="0" fillId="0" borderId="0" xfId="7" applyNumberFormat="1" applyFont="1"/>
    <xf numFmtId="8" fontId="0" fillId="3" borderId="1" xfId="0" applyNumberFormat="1" applyFill="1" applyBorder="1"/>
    <xf numFmtId="8" fontId="9" fillId="4" borderId="1" xfId="0" applyNumberFormat="1" applyFont="1" applyFill="1" applyBorder="1"/>
    <xf numFmtId="8" fontId="0" fillId="4" borderId="1" xfId="0" applyNumberFormat="1" applyFill="1" applyBorder="1"/>
    <xf numFmtId="0" fontId="5" fillId="0" borderId="0" xfId="0" applyFont="1" applyAlignment="1">
      <alignment horizontal="left" vertical="center" wrapText="1"/>
    </xf>
    <xf numFmtId="8" fontId="5" fillId="0" borderId="0" xfId="0" applyNumberFormat="1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8" fontId="5" fillId="0" borderId="8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6" xfId="5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left" vertical="center"/>
    </xf>
    <xf numFmtId="0" fontId="6" fillId="0" borderId="7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0" fontId="2" fillId="0" borderId="16" xfId="6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6" xfId="0" applyFill="1" applyBorder="1" applyAlignment="1"/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left" vertical="center"/>
    </xf>
    <xf numFmtId="0" fontId="6" fillId="0" borderId="12" xfId="4" applyFont="1" applyFill="1" applyBorder="1" applyAlignment="1">
      <alignment horizontal="left" vertical="center"/>
    </xf>
    <xf numFmtId="0" fontId="6" fillId="0" borderId="17" xfId="4" applyFont="1" applyFill="1" applyBorder="1" applyAlignment="1">
      <alignment horizontal="left" vertical="center"/>
    </xf>
    <xf numFmtId="0" fontId="5" fillId="0" borderId="21" xfId="5" applyFont="1" applyFill="1" applyBorder="1" applyAlignment="1">
      <alignment horizontal="center" vertical="center" wrapText="1"/>
    </xf>
    <xf numFmtId="0" fontId="5" fillId="0" borderId="22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2" fillId="0" borderId="16" xfId="6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20" fillId="0" borderId="2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left" wrapText="1"/>
    </xf>
    <xf numFmtId="0" fontId="2" fillId="0" borderId="16" xfId="5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16" xfId="0" applyBorder="1" applyAlignment="1"/>
  </cellXfs>
  <cellStyles count="8">
    <cellStyle name="3dec" xfId="1"/>
    <cellStyle name="Comma" xfId="7" builtinId="3"/>
    <cellStyle name="Normal" xfId="0" builtinId="0"/>
    <cellStyle name="Normal 2" xfId="2"/>
    <cellStyle name="Normal 3" xfId="3"/>
    <cellStyle name="Normal_NRDC Budget and Incentives 000112a" xfId="4"/>
    <cellStyle name="Normal_RepBud2001" xfId="5"/>
    <cellStyle name="Normal_RepBud2001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-NJFS1\NJ%20Program%20Coordinator%20Shared\NJ%20Program%20Coordinator%20Shared\Mikes%20Clients\2012%20budgets\2012%20Draft%20Budg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-NJFS1\NJ%20Program%20Coordinator%20Shared\NJ%20Program%20Coordinator%20Shared\Mikes%20Clients\2011%20revised%20budgets\2011%205th%20revised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-NJFS1\NJ%20Program%20Coordinator%20Shared\NJ%20Program%20Coordinator%20Shared\Mikes%20Clients\2012%20budgets\2011%207&amp;5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-NJFS1\NJ%20Program%20Coordinator%20Shared\NJ%20Program%20Coordinator%20Shared\Mikes%20Clients\2012%20revised%20budgets\NJCEP%20expenses%20as%20of%206029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-NJFS1\NJ%20Program%20Coordinator%20Shared\NJ%20Program%20Coordinator%20Shared\Mikes%20Clients\Annual%20report%202011\BPURpt4Q11_NJCEP_DATA_DRAFT_201202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ing by Budget Category"/>
      <sheetName val="Energy Efficiency Budgets"/>
      <sheetName val="EE Budget Detail"/>
      <sheetName val="Renewable Energy Budgets"/>
      <sheetName val="RE Budget Detail"/>
      <sheetName val="EDA Programs"/>
      <sheetName val="OCE Oversight"/>
      <sheetName val="BO EE Table"/>
      <sheetName val="BO RE Table"/>
    </sheetNames>
    <sheetDataSet>
      <sheetData sheetId="0">
        <row r="7">
          <cell r="F7">
            <v>409143330.69999999</v>
          </cell>
        </row>
        <row r="8">
          <cell r="F8">
            <v>59031421.199999988</v>
          </cell>
        </row>
        <row r="9">
          <cell r="F9">
            <v>107650429.81999999</v>
          </cell>
        </row>
        <row r="10">
          <cell r="F10">
            <v>8424448.379999999</v>
          </cell>
        </row>
        <row r="11">
          <cell r="C11">
            <v>14374500</v>
          </cell>
          <cell r="F11">
            <v>14374500</v>
          </cell>
        </row>
        <row r="13">
          <cell r="F13">
            <v>52500000</v>
          </cell>
        </row>
      </sheetData>
      <sheetData sheetId="1">
        <row r="7">
          <cell r="D7">
            <v>1622693.4400000013</v>
          </cell>
          <cell r="G7">
            <v>23178518.810000002</v>
          </cell>
        </row>
        <row r="8">
          <cell r="D8">
            <v>7533309.2400000002</v>
          </cell>
          <cell r="G8">
            <v>16320061.5</v>
          </cell>
        </row>
        <row r="9">
          <cell r="D9">
            <v>395143.77999999747</v>
          </cell>
          <cell r="G9">
            <v>20275407.84</v>
          </cell>
        </row>
        <row r="10">
          <cell r="D10">
            <v>9173162.8899999969</v>
          </cell>
          <cell r="G10">
            <v>32386412.489999998</v>
          </cell>
        </row>
        <row r="11">
          <cell r="D11">
            <v>87475.129999999888</v>
          </cell>
          <cell r="G11">
            <v>1651383.8399999999</v>
          </cell>
        </row>
        <row r="16">
          <cell r="D16">
            <v>0</v>
          </cell>
          <cell r="G16">
            <v>35000000</v>
          </cell>
        </row>
        <row r="21">
          <cell r="D21">
            <v>3765517.1500000004</v>
          </cell>
          <cell r="G21">
            <v>10024122.02</v>
          </cell>
        </row>
        <row r="22">
          <cell r="D22">
            <v>26945246.93</v>
          </cell>
          <cell r="G22">
            <v>65699999.969999999</v>
          </cell>
        </row>
        <row r="23">
          <cell r="D23">
            <v>6810817.5800000001</v>
          </cell>
          <cell r="G23">
            <v>10310817.58</v>
          </cell>
        </row>
        <row r="24">
          <cell r="D24">
            <v>37498618.399999999</v>
          </cell>
          <cell r="G24">
            <v>60555958</v>
          </cell>
        </row>
        <row r="25">
          <cell r="D25">
            <v>1002122.8300000001</v>
          </cell>
          <cell r="G25">
            <v>20000000</v>
          </cell>
        </row>
        <row r="26">
          <cell r="D26">
            <v>5761575.2199999969</v>
          </cell>
          <cell r="G26">
            <v>5999999.9999999972</v>
          </cell>
        </row>
        <row r="27">
          <cell r="D27">
            <v>14337218.140000001</v>
          </cell>
          <cell r="G27">
            <v>41337218</v>
          </cell>
        </row>
        <row r="28">
          <cell r="D28">
            <v>0</v>
          </cell>
          <cell r="G28">
            <v>0</v>
          </cell>
        </row>
        <row r="29">
          <cell r="D29">
            <v>0</v>
          </cell>
          <cell r="G29">
            <v>1575000</v>
          </cell>
        </row>
        <row r="30">
          <cell r="D30">
            <v>19895000</v>
          </cell>
          <cell r="G30">
            <v>28763000.68</v>
          </cell>
        </row>
        <row r="31">
          <cell r="D31">
            <v>10000000</v>
          </cell>
          <cell r="G31">
            <v>10000000</v>
          </cell>
        </row>
        <row r="32">
          <cell r="G32">
            <v>5000000</v>
          </cell>
        </row>
        <row r="37">
          <cell r="D37">
            <v>195429.96999999997</v>
          </cell>
          <cell r="G37">
            <v>195429.96999999997</v>
          </cell>
        </row>
        <row r="38">
          <cell r="D38">
            <v>20000000</v>
          </cell>
          <cell r="G38">
            <v>0</v>
          </cell>
        </row>
        <row r="39">
          <cell r="D39">
            <v>370000</v>
          </cell>
          <cell r="G39">
            <v>870000</v>
          </cell>
        </row>
        <row r="40">
          <cell r="G40">
            <v>20000000</v>
          </cell>
        </row>
      </sheetData>
      <sheetData sheetId="2"/>
      <sheetData sheetId="3">
        <row r="7">
          <cell r="D7">
            <v>4149999.9999999925</v>
          </cell>
          <cell r="G7">
            <v>4149999.9999999925</v>
          </cell>
        </row>
        <row r="8">
          <cell r="D8">
            <v>34954.670000000042</v>
          </cell>
          <cell r="G8">
            <v>32400.000000000044</v>
          </cell>
        </row>
        <row r="9">
          <cell r="D9">
            <v>8018408</v>
          </cell>
          <cell r="G9">
            <v>8518408</v>
          </cell>
        </row>
        <row r="10">
          <cell r="D10">
            <v>10922831.73</v>
          </cell>
          <cell r="G10">
            <v>20425386.400000002</v>
          </cell>
        </row>
        <row r="11">
          <cell r="D11">
            <v>14233390.050000001</v>
          </cell>
          <cell r="G11">
            <v>24233390.050000001</v>
          </cell>
        </row>
        <row r="12">
          <cell r="D12">
            <v>1671836.75</v>
          </cell>
          <cell r="G12">
            <v>1671836.75</v>
          </cell>
        </row>
      </sheetData>
      <sheetData sheetId="4"/>
      <sheetData sheetId="5">
        <row r="7">
          <cell r="D7">
            <v>29019136.379999995</v>
          </cell>
          <cell r="H7">
            <v>31067385.289999995</v>
          </cell>
        </row>
        <row r="8">
          <cell r="D8">
            <v>3940000</v>
          </cell>
          <cell r="H8">
            <v>3940545.29</v>
          </cell>
        </row>
        <row r="9">
          <cell r="D9">
            <v>17640000</v>
          </cell>
          <cell r="H9">
            <v>17642499.239999998</v>
          </cell>
        </row>
        <row r="10">
          <cell r="H10">
            <v>55000000</v>
          </cell>
        </row>
      </sheetData>
      <sheetData sheetId="6">
        <row r="7">
          <cell r="D7">
            <v>491.82999999937601</v>
          </cell>
          <cell r="H7">
            <v>2988016.4299999992</v>
          </cell>
        </row>
        <row r="8">
          <cell r="D8">
            <v>63537.25</v>
          </cell>
          <cell r="H8">
            <v>2163537.25</v>
          </cell>
        </row>
        <row r="10">
          <cell r="D10">
            <v>25000</v>
          </cell>
          <cell r="H10">
            <v>25000</v>
          </cell>
        </row>
        <row r="11">
          <cell r="D11">
            <v>0</v>
          </cell>
          <cell r="H11">
            <v>0</v>
          </cell>
        </row>
        <row r="12">
          <cell r="H12">
            <v>100000</v>
          </cell>
        </row>
        <row r="15">
          <cell r="D15">
            <v>520613.6399999999</v>
          </cell>
          <cell r="H15">
            <v>920613.6399999999</v>
          </cell>
        </row>
        <row r="16">
          <cell r="D16">
            <v>0</v>
          </cell>
          <cell r="H16">
            <v>50000</v>
          </cell>
        </row>
        <row r="17">
          <cell r="D17">
            <v>2.23</v>
          </cell>
          <cell r="H17">
            <v>0</v>
          </cell>
        </row>
        <row r="18">
          <cell r="D18">
            <v>44566.749999999978</v>
          </cell>
          <cell r="H18">
            <v>44566.749999999978</v>
          </cell>
        </row>
        <row r="19">
          <cell r="D19">
            <v>351779.64999999991</v>
          </cell>
          <cell r="H19">
            <v>1551779.65</v>
          </cell>
        </row>
        <row r="20">
          <cell r="D20">
            <v>498162.35000000009</v>
          </cell>
          <cell r="H20">
            <v>498162.35000000009</v>
          </cell>
        </row>
        <row r="23">
          <cell r="H23">
            <v>22772.309999999969</v>
          </cell>
        </row>
        <row r="24">
          <cell r="H24">
            <v>60000</v>
          </cell>
        </row>
        <row r="25">
          <cell r="D25">
            <v>22772.309999999969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th Revised 2011 budget"/>
      <sheetName val="5th Revised 2011 EE Budget"/>
      <sheetName val="EE Budget Detail"/>
      <sheetName val="5th Revised 2011 RE Budget"/>
      <sheetName val="RE Budget Detail"/>
      <sheetName val="5th Revised 2011 EDA Budget"/>
      <sheetName val="5th Revised OCE Oversight Budge"/>
    </sheetNames>
    <sheetDataSet>
      <sheetData sheetId="0">
        <row r="8">
          <cell r="B8">
            <v>25000000</v>
          </cell>
        </row>
        <row r="10">
          <cell r="D10">
            <v>52500000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E Summary"/>
      <sheetName val="RE-EDA Summary"/>
      <sheetName val="OCE Oversight Summary"/>
      <sheetName val="Actual Expenses EE "/>
      <sheetName val="Projected Expenses EE "/>
      <sheetName val="EE commitments"/>
      <sheetName val="Actual Expenses RE-EDA"/>
      <sheetName val="Projected Expenses RE-EDA"/>
      <sheetName val="RE-EDA Commitments"/>
      <sheetName val="Actual OCE Expenses"/>
      <sheetName val="Projected OCE Expenses"/>
    </sheetNames>
    <sheetDataSet>
      <sheetData sheetId="0">
        <row r="21">
          <cell r="E21">
            <v>51293.440000000002</v>
          </cell>
        </row>
        <row r="22">
          <cell r="E22">
            <v>652396.37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Jerseys Clean Energy Progra"/>
      <sheetName val="Energy Efficiency Programs"/>
      <sheetName val="Renewable Energy Programs"/>
      <sheetName val="EDA Programs"/>
      <sheetName val="Office of Clean Energy"/>
      <sheetName val="TRUE Grant"/>
    </sheetNames>
    <sheetDataSet>
      <sheetData sheetId="0"/>
      <sheetData sheetId="1">
        <row r="8">
          <cell r="D8">
            <v>0</v>
          </cell>
        </row>
        <row r="9">
          <cell r="D9">
            <v>7426322</v>
          </cell>
        </row>
        <row r="10">
          <cell r="D10">
            <v>0</v>
          </cell>
        </row>
        <row r="11">
          <cell r="D11">
            <v>6160000</v>
          </cell>
        </row>
        <row r="12">
          <cell r="D12">
            <v>0</v>
          </cell>
        </row>
        <row r="16">
          <cell r="D16">
            <v>0</v>
          </cell>
        </row>
        <row r="20">
          <cell r="D20">
            <v>3373909.14</v>
          </cell>
        </row>
        <row r="21">
          <cell r="D21">
            <v>29617419.539999999</v>
          </cell>
        </row>
        <row r="22">
          <cell r="D22">
            <v>1918374.6</v>
          </cell>
        </row>
        <row r="23">
          <cell r="D23">
            <v>30068467.699999999</v>
          </cell>
        </row>
        <row r="24">
          <cell r="D24">
            <v>5247500</v>
          </cell>
        </row>
        <row r="25">
          <cell r="D25">
            <v>2763121</v>
          </cell>
        </row>
        <row r="26">
          <cell r="D26">
            <v>12289768.48</v>
          </cell>
        </row>
        <row r="27">
          <cell r="D27">
            <v>0</v>
          </cell>
        </row>
        <row r="28">
          <cell r="D28">
            <v>6932041.3200000003</v>
          </cell>
        </row>
        <row r="30">
          <cell r="D30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</sheetData>
      <sheetData sheetId="2">
        <row r="8">
          <cell r="D8">
            <v>2588943</v>
          </cell>
        </row>
        <row r="9">
          <cell r="D9">
            <v>0</v>
          </cell>
        </row>
        <row r="10">
          <cell r="D10">
            <v>7804374</v>
          </cell>
        </row>
        <row r="11">
          <cell r="D11">
            <v>3856320</v>
          </cell>
        </row>
        <row r="12">
          <cell r="D12">
            <v>2432471</v>
          </cell>
        </row>
        <row r="13">
          <cell r="D13">
            <v>1484497.95</v>
          </cell>
        </row>
      </sheetData>
      <sheetData sheetId="3">
        <row r="8">
          <cell r="D8">
            <v>4838483</v>
          </cell>
        </row>
        <row r="9">
          <cell r="D9">
            <v>1000000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Report Printout"/>
      <sheetName val="Expenses vs Budgets_NJCEP"/>
      <sheetName val="Expenses vs Budgets_EE"/>
      <sheetName val="Expenses vs Budgets_RE"/>
      <sheetName val="Expenses vs Budgets_EDA"/>
      <sheetName val="Expenses vs Budgets_OCE"/>
      <sheetName val="Expenses vs Budgets_TRUE"/>
      <sheetName val="Expenses by Category_NJCEP"/>
      <sheetName val="Expenses by Category_EE"/>
      <sheetName val="Expenses by Category_RE"/>
      <sheetName val="Expenses by Category_EDA"/>
      <sheetName val="Expenses by Category_OCE"/>
      <sheetName val="Expenses by Category_TRUE"/>
      <sheetName val="Tracking Metrics_NJCEP"/>
      <sheetName val="Electric Savings vs Goals_NJCEP"/>
      <sheetName val="Gas Savings vs Goals_NJCEP"/>
      <sheetName val="Electric Savings_NJCEP"/>
      <sheetName val="Electric Generation_NJCEP"/>
      <sheetName val="Gas Savings_NJCEP"/>
      <sheetName val="Emissions Reductions_NJCEP"/>
      <sheetName val="Notes_Cover"/>
      <sheetName val="Notes and Definitions"/>
      <sheetName val="Report Graphs "/>
      <sheetName val="Charts Data Sheet"/>
      <sheetName val="Control Sheet"/>
      <sheetName val="Budget Groups"/>
    </sheetNames>
    <sheetDataSet>
      <sheetData sheetId="0" refreshError="1"/>
      <sheetData sheetId="1" refreshError="1">
        <row r="12">
          <cell r="B12">
            <v>25000000</v>
          </cell>
          <cell r="C12">
            <v>3210125.71</v>
          </cell>
        </row>
      </sheetData>
      <sheetData sheetId="2" refreshError="1">
        <row r="8">
          <cell r="D8">
            <v>22724583.98</v>
          </cell>
          <cell r="E8">
            <v>19923078.400000002</v>
          </cell>
        </row>
        <row r="9">
          <cell r="D9">
            <v>19943969.5</v>
          </cell>
          <cell r="E9">
            <v>7039315.4699999997</v>
          </cell>
        </row>
        <row r="10">
          <cell r="D10">
            <v>18193381.039999999</v>
          </cell>
          <cell r="E10">
            <v>16643930.609999999</v>
          </cell>
        </row>
        <row r="11">
          <cell r="D11">
            <v>29760156.050000001</v>
          </cell>
          <cell r="E11">
            <v>15266819.300000001</v>
          </cell>
        </row>
        <row r="12">
          <cell r="D12">
            <v>1309984</v>
          </cell>
          <cell r="E12">
            <v>1111985.1000000001</v>
          </cell>
        </row>
        <row r="16">
          <cell r="D16">
            <v>30829308.109999999</v>
          </cell>
          <cell r="E16">
            <v>28405761.969999999</v>
          </cell>
        </row>
        <row r="20">
          <cell r="D20">
            <v>6867143.4100000001</v>
          </cell>
          <cell r="E20">
            <v>2387636.9500000002</v>
          </cell>
        </row>
        <row r="21">
          <cell r="D21">
            <v>45899451.299999997</v>
          </cell>
          <cell r="E21">
            <v>15697501.92</v>
          </cell>
        </row>
        <row r="22">
          <cell r="D22">
            <v>7471645.96</v>
          </cell>
          <cell r="E22">
            <v>478711.07999999996</v>
          </cell>
        </row>
        <row r="23">
          <cell r="D23">
            <v>43355701.5</v>
          </cell>
          <cell r="E23">
            <v>5023091.4800000004</v>
          </cell>
        </row>
        <row r="24">
          <cell r="D24">
            <v>1002122.83</v>
          </cell>
          <cell r="E24">
            <v>0</v>
          </cell>
        </row>
        <row r="25">
          <cell r="D25">
            <v>9115170.9700000007</v>
          </cell>
          <cell r="E25">
            <v>3493179</v>
          </cell>
        </row>
        <row r="26">
          <cell r="D26">
            <v>35896150.920000002</v>
          </cell>
          <cell r="E26">
            <v>21733218.780000001</v>
          </cell>
        </row>
        <row r="27">
          <cell r="D27">
            <v>682829.5</v>
          </cell>
          <cell r="E27">
            <v>121599.5</v>
          </cell>
        </row>
        <row r="28">
          <cell r="D28">
            <v>1075000</v>
          </cell>
          <cell r="E28">
            <v>1062330.79</v>
          </cell>
        </row>
        <row r="29">
          <cell r="D29">
            <v>20000000</v>
          </cell>
          <cell r="E29">
            <v>71596.100000000006</v>
          </cell>
        </row>
        <row r="30">
          <cell r="D30">
            <v>10000000</v>
          </cell>
          <cell r="E30">
            <v>0</v>
          </cell>
        </row>
        <row r="34">
          <cell r="D34">
            <v>678853.1</v>
          </cell>
          <cell r="E34">
            <v>195895.63</v>
          </cell>
        </row>
        <row r="35">
          <cell r="D35">
            <v>20000000</v>
          </cell>
          <cell r="E35">
            <v>0</v>
          </cell>
        </row>
        <row r="36">
          <cell r="D36">
            <v>1070000</v>
          </cell>
          <cell r="E36">
            <v>380149.11</v>
          </cell>
        </row>
      </sheetData>
      <sheetData sheetId="3" refreshError="1">
        <row r="8">
          <cell r="D8">
            <v>22623674.18</v>
          </cell>
          <cell r="E8">
            <v>13139812.210000001</v>
          </cell>
        </row>
        <row r="9">
          <cell r="D9">
            <v>68400</v>
          </cell>
          <cell r="E9">
            <v>29209.4</v>
          </cell>
        </row>
        <row r="10">
          <cell r="D10">
            <v>11070253</v>
          </cell>
          <cell r="E10">
            <v>2633211</v>
          </cell>
        </row>
        <row r="11">
          <cell r="D11">
            <v>11282831.73</v>
          </cell>
          <cell r="E11">
            <v>0</v>
          </cell>
        </row>
        <row r="12">
          <cell r="D12">
            <v>41612455.100000001</v>
          </cell>
          <cell r="E12">
            <v>21336854.389999997</v>
          </cell>
        </row>
        <row r="13">
          <cell r="D13">
            <v>3655277</v>
          </cell>
          <cell r="E13">
            <v>1824234.6</v>
          </cell>
        </row>
      </sheetData>
      <sheetData sheetId="4" refreshError="1">
        <row r="8">
          <cell r="B8">
            <v>35634153.380000003</v>
          </cell>
          <cell r="C8">
            <v>5915017</v>
          </cell>
        </row>
        <row r="9">
          <cell r="B9">
            <v>4000000</v>
          </cell>
          <cell r="C9">
            <v>60000</v>
          </cell>
        </row>
        <row r="10">
          <cell r="B10">
            <v>18000000</v>
          </cell>
          <cell r="C10">
            <v>360000</v>
          </cell>
        </row>
      </sheetData>
      <sheetData sheetId="5" refreshError="1">
        <row r="8">
          <cell r="B8">
            <v>1477499.04</v>
          </cell>
          <cell r="C8">
            <v>1393247.55</v>
          </cell>
        </row>
        <row r="9">
          <cell r="B9">
            <v>2067983</v>
          </cell>
          <cell r="C9">
            <v>1872038.25</v>
          </cell>
        </row>
        <row r="13">
          <cell r="B13">
            <v>25000</v>
          </cell>
          <cell r="C13">
            <v>0</v>
          </cell>
        </row>
        <row r="14">
          <cell r="B14">
            <v>133817</v>
          </cell>
          <cell r="C14">
            <v>131196</v>
          </cell>
        </row>
        <row r="18">
          <cell r="B18">
            <v>1308415.71</v>
          </cell>
          <cell r="C18">
            <v>387802.07</v>
          </cell>
        </row>
        <row r="19">
          <cell r="B19">
            <v>21055</v>
          </cell>
          <cell r="C19">
            <v>0</v>
          </cell>
        </row>
        <row r="20">
          <cell r="B20">
            <v>450000</v>
          </cell>
          <cell r="C20">
            <v>391097.89</v>
          </cell>
        </row>
        <row r="21">
          <cell r="B21">
            <v>44566.75</v>
          </cell>
          <cell r="C21">
            <v>0</v>
          </cell>
        </row>
        <row r="22">
          <cell r="B22">
            <v>1351779.65</v>
          </cell>
          <cell r="C22">
            <v>156293.1</v>
          </cell>
        </row>
        <row r="23">
          <cell r="B23">
            <v>498162.35</v>
          </cell>
          <cell r="C23">
            <v>0</v>
          </cell>
        </row>
        <row r="27">
          <cell r="B27">
            <v>122772.31</v>
          </cell>
          <cell r="C2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B4" sqref="B4"/>
    </sheetView>
  </sheetViews>
  <sheetFormatPr defaultRowHeight="12.75" x14ac:dyDescent="0.2"/>
  <cols>
    <col min="1" max="1" width="66.5703125" customWidth="1"/>
    <col min="2" max="2" width="16.42578125" style="16" customWidth="1"/>
  </cols>
  <sheetData>
    <row r="1" spans="1:2" ht="18" x14ac:dyDescent="0.25">
      <c r="A1" s="147" t="s">
        <v>179</v>
      </c>
    </row>
    <row r="3" spans="1:2" x14ac:dyDescent="0.2">
      <c r="A3" s="14" t="s">
        <v>182</v>
      </c>
      <c r="B3" s="148">
        <v>200000000</v>
      </c>
    </row>
    <row r="4" spans="1:2" x14ac:dyDescent="0.2">
      <c r="A4" s="14" t="s">
        <v>181</v>
      </c>
      <c r="B4" s="148">
        <v>131500000</v>
      </c>
    </row>
    <row r="5" spans="1:2" x14ac:dyDescent="0.2">
      <c r="A5" s="14" t="s">
        <v>28</v>
      </c>
      <c r="B5" s="148">
        <f>SUM(B3:B4)</f>
        <v>331500000</v>
      </c>
    </row>
    <row r="6" spans="1:2" x14ac:dyDescent="0.2">
      <c r="A6" s="15"/>
    </row>
    <row r="7" spans="1:2" ht="30.75" customHeight="1" x14ac:dyDescent="0.2">
      <c r="A7" s="200" t="s">
        <v>180</v>
      </c>
      <c r="B7" s="200"/>
    </row>
    <row r="9" spans="1:2" x14ac:dyDescent="0.2">
      <c r="A9" s="149"/>
      <c r="B9" s="150"/>
    </row>
    <row r="11" spans="1:2" x14ac:dyDescent="0.2">
      <c r="A11" s="14"/>
    </row>
    <row r="12" spans="1:2" x14ac:dyDescent="0.2">
      <c r="A12" s="152"/>
      <c r="B12" s="151"/>
    </row>
    <row r="13" spans="1:2" x14ac:dyDescent="0.2">
      <c r="A13" s="15"/>
    </row>
    <row r="14" spans="1:2" x14ac:dyDescent="0.2">
      <c r="A14" s="15"/>
    </row>
    <row r="15" spans="1:2" x14ac:dyDescent="0.2">
      <c r="A15" s="15"/>
    </row>
    <row r="16" spans="1:2" x14ac:dyDescent="0.2">
      <c r="A16" s="14"/>
      <c r="B16" s="148"/>
    </row>
    <row r="18" spans="1:2" x14ac:dyDescent="0.2">
      <c r="A18" s="153"/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4"/>
      <c r="B22" s="148"/>
    </row>
    <row r="24" spans="1:2" ht="17.25" customHeight="1" x14ac:dyDescent="0.2">
      <c r="A24" s="152"/>
    </row>
    <row r="25" spans="1:2" x14ac:dyDescent="0.2">
      <c r="A25" s="15"/>
    </row>
    <row r="26" spans="1:2" x14ac:dyDescent="0.2">
      <c r="A26" s="15"/>
    </row>
    <row r="27" spans="1:2" x14ac:dyDescent="0.2">
      <c r="A27" s="14"/>
      <c r="B27" s="148"/>
    </row>
  </sheetData>
  <mergeCells count="1">
    <mergeCell ref="A7:B7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F18" sqref="F18"/>
    </sheetView>
  </sheetViews>
  <sheetFormatPr defaultRowHeight="12.75" x14ac:dyDescent="0.2"/>
  <cols>
    <col min="1" max="1" width="44" customWidth="1"/>
    <col min="2" max="2" width="19" customWidth="1"/>
    <col min="3" max="3" width="16.28515625" customWidth="1"/>
    <col min="4" max="4" width="17.85546875" customWidth="1"/>
    <col min="5" max="5" width="20.28515625" customWidth="1"/>
    <col min="6" max="6" width="18.7109375" customWidth="1"/>
  </cols>
  <sheetData>
    <row r="1" spans="1:9" ht="18" x14ac:dyDescent="0.25">
      <c r="A1" s="254" t="s">
        <v>118</v>
      </c>
      <c r="B1" s="255"/>
      <c r="C1" s="255"/>
      <c r="D1" s="256"/>
      <c r="E1" s="256"/>
      <c r="F1" s="256"/>
    </row>
    <row r="2" spans="1:9" ht="15" x14ac:dyDescent="0.25">
      <c r="A2" s="31" t="s">
        <v>23</v>
      </c>
      <c r="B2" s="5" t="s">
        <v>1</v>
      </c>
      <c r="C2" s="5" t="s">
        <v>29</v>
      </c>
      <c r="D2" s="5" t="s">
        <v>29</v>
      </c>
      <c r="E2" s="52" t="s">
        <v>116</v>
      </c>
      <c r="F2" s="5" t="s">
        <v>31</v>
      </c>
    </row>
    <row r="3" spans="1:9" ht="15" x14ac:dyDescent="0.25">
      <c r="A3" s="4"/>
      <c r="B3" s="5" t="s">
        <v>2</v>
      </c>
      <c r="C3" s="52">
        <v>2011</v>
      </c>
      <c r="D3" s="52">
        <v>2011</v>
      </c>
      <c r="E3" s="52" t="s">
        <v>30</v>
      </c>
      <c r="F3" s="52" t="s">
        <v>32</v>
      </c>
    </row>
    <row r="4" spans="1:9" ht="15" x14ac:dyDescent="0.25">
      <c r="A4" s="32"/>
      <c r="B4" s="5" t="s">
        <v>115</v>
      </c>
      <c r="C4" s="5" t="s">
        <v>3</v>
      </c>
      <c r="D4" s="5" t="s">
        <v>5</v>
      </c>
      <c r="E4" s="52" t="s">
        <v>117</v>
      </c>
      <c r="F4" s="52" t="s">
        <v>33</v>
      </c>
    </row>
    <row r="5" spans="1:9" ht="15" x14ac:dyDescent="0.25">
      <c r="A5" s="5" t="s">
        <v>4</v>
      </c>
      <c r="B5" s="89" t="s">
        <v>7</v>
      </c>
      <c r="C5" s="90" t="s">
        <v>8</v>
      </c>
      <c r="D5" s="90" t="s">
        <v>9</v>
      </c>
      <c r="E5" s="90" t="s">
        <v>10</v>
      </c>
      <c r="F5" s="91" t="s">
        <v>35</v>
      </c>
      <c r="H5" s="112"/>
      <c r="I5" s="112"/>
    </row>
    <row r="6" spans="1:9" ht="16.5" customHeight="1" x14ac:dyDescent="0.2">
      <c r="A6" s="116" t="s">
        <v>24</v>
      </c>
      <c r="B6" s="47">
        <f>'[5]Expenses vs Budgets_RE'!D8</f>
        <v>22623674.18</v>
      </c>
      <c r="C6" s="68">
        <f>'[5]Expenses vs Budgets_RE'!E8</f>
        <v>13139812.210000001</v>
      </c>
      <c r="D6" s="47">
        <f t="shared" ref="D6:D11" si="0">B6-C6</f>
        <v>9483861.9699999988</v>
      </c>
      <c r="E6" s="66">
        <f>'[1]Renewable Energy Budgets'!D7</f>
        <v>4149999.9999999925</v>
      </c>
      <c r="F6" s="39">
        <f t="shared" ref="F6:F11" si="1">D6-E6</f>
        <v>5333861.9700000063</v>
      </c>
      <c r="H6" s="113"/>
      <c r="I6" s="112"/>
    </row>
    <row r="7" spans="1:9" x14ac:dyDescent="0.2">
      <c r="A7" s="116" t="s">
        <v>25</v>
      </c>
      <c r="B7" s="47">
        <f>'[5]Expenses vs Budgets_RE'!D9</f>
        <v>68400</v>
      </c>
      <c r="C7" s="68">
        <f>'[5]Expenses vs Budgets_RE'!E9</f>
        <v>29209.4</v>
      </c>
      <c r="D7" s="47">
        <f t="shared" si="0"/>
        <v>39190.6</v>
      </c>
      <c r="E7" s="66">
        <f>'[1]Renewable Energy Budgets'!D8</f>
        <v>34954.670000000042</v>
      </c>
      <c r="F7" s="39">
        <f t="shared" si="1"/>
        <v>4235.9299999999566</v>
      </c>
      <c r="H7" s="113"/>
      <c r="I7" s="112"/>
    </row>
    <row r="8" spans="1:9" x14ac:dyDescent="0.2">
      <c r="A8" s="116" t="s">
        <v>69</v>
      </c>
      <c r="B8" s="47">
        <f>'[5]Expenses vs Budgets_RE'!D10</f>
        <v>11070253</v>
      </c>
      <c r="C8" s="68">
        <f>'[5]Expenses vs Budgets_RE'!E10</f>
        <v>2633211</v>
      </c>
      <c r="D8" s="47">
        <f t="shared" si="0"/>
        <v>8437042</v>
      </c>
      <c r="E8" s="66">
        <f>'[1]Renewable Energy Budgets'!D9</f>
        <v>8018408</v>
      </c>
      <c r="F8" s="39">
        <f t="shared" si="1"/>
        <v>418634</v>
      </c>
      <c r="H8" s="113"/>
      <c r="I8" s="112"/>
    </row>
    <row r="9" spans="1:9" ht="25.5" x14ac:dyDescent="0.2">
      <c r="A9" s="29" t="s">
        <v>63</v>
      </c>
      <c r="B9" s="47">
        <f>'[5]Expenses vs Budgets_RE'!D11</f>
        <v>11282831.73</v>
      </c>
      <c r="C9" s="68">
        <f>'[5]Expenses vs Budgets_RE'!E11</f>
        <v>0</v>
      </c>
      <c r="D9" s="47">
        <f t="shared" si="0"/>
        <v>11282831.73</v>
      </c>
      <c r="E9" s="66">
        <f>'[1]Renewable Energy Budgets'!D10</f>
        <v>10922831.73</v>
      </c>
      <c r="F9" s="39">
        <f t="shared" si="1"/>
        <v>360000</v>
      </c>
      <c r="H9" s="113"/>
      <c r="I9" s="112"/>
    </row>
    <row r="10" spans="1:9" x14ac:dyDescent="0.2">
      <c r="A10" s="29" t="s">
        <v>73</v>
      </c>
      <c r="B10" s="47">
        <f>'[5]Expenses vs Budgets_RE'!D12</f>
        <v>41612455.100000001</v>
      </c>
      <c r="C10" s="68">
        <f>'[5]Expenses vs Budgets_RE'!E12</f>
        <v>21336854.389999997</v>
      </c>
      <c r="D10" s="47">
        <f t="shared" si="0"/>
        <v>20275600.710000005</v>
      </c>
      <c r="E10" s="66">
        <f>'[1]Renewable Energy Budgets'!D11</f>
        <v>14233390.050000001</v>
      </c>
      <c r="F10" s="39">
        <f t="shared" si="1"/>
        <v>6042210.6600000039</v>
      </c>
      <c r="H10" s="113"/>
      <c r="I10" s="112"/>
    </row>
    <row r="11" spans="1:9" ht="25.5" x14ac:dyDescent="0.2">
      <c r="A11" s="29" t="s">
        <v>83</v>
      </c>
      <c r="B11" s="47">
        <f>'[5]Expenses vs Budgets_RE'!D13</f>
        <v>3655277</v>
      </c>
      <c r="C11" s="68">
        <f>'[5]Expenses vs Budgets_RE'!E13</f>
        <v>1824234.6</v>
      </c>
      <c r="D11" s="47">
        <f t="shared" si="0"/>
        <v>1831042.4</v>
      </c>
      <c r="E11" s="66">
        <f>'[1]Renewable Energy Budgets'!D12</f>
        <v>1671836.75</v>
      </c>
      <c r="F11" s="39">
        <f t="shared" si="1"/>
        <v>159205.64999999991</v>
      </c>
      <c r="H11" s="113"/>
      <c r="I11" s="112"/>
    </row>
    <row r="12" spans="1:9" ht="15" x14ac:dyDescent="0.25">
      <c r="A12" s="12" t="s">
        <v>136</v>
      </c>
      <c r="B12" s="48">
        <f>SUM(B6:B11)</f>
        <v>90312891.00999999</v>
      </c>
      <c r="C12" s="48">
        <f>SUM(C6:C11)</f>
        <v>38963321.600000001</v>
      </c>
      <c r="D12" s="48">
        <f>SUM(D6:D11)</f>
        <v>51349569.410000004</v>
      </c>
      <c r="E12" s="48">
        <f>SUM(E6:E11)</f>
        <v>39031421.199999988</v>
      </c>
      <c r="F12" s="48">
        <f>SUM(F6:F11)</f>
        <v>12318148.21000001</v>
      </c>
      <c r="H12" s="114"/>
      <c r="I12" s="112"/>
    </row>
    <row r="13" spans="1:9" x14ac:dyDescent="0.2">
      <c r="H13" s="115"/>
      <c r="I13" s="112"/>
    </row>
    <row r="14" spans="1:9" ht="18" x14ac:dyDescent="0.25">
      <c r="A14" s="254" t="s">
        <v>137</v>
      </c>
      <c r="B14" s="255"/>
      <c r="C14" s="255"/>
      <c r="D14" s="256"/>
      <c r="E14" s="256"/>
      <c r="F14" s="256"/>
    </row>
    <row r="15" spans="1:9" ht="15" x14ac:dyDescent="0.25">
      <c r="A15" s="12" t="s">
        <v>27</v>
      </c>
      <c r="B15" s="47"/>
      <c r="C15" s="47"/>
      <c r="D15" s="47"/>
      <c r="E15" s="66"/>
      <c r="F15" s="39"/>
    </row>
    <row r="16" spans="1:9" x14ac:dyDescent="0.2">
      <c r="A16" s="122" t="s">
        <v>139</v>
      </c>
      <c r="B16" s="47">
        <f>'[5]Expenses vs Budgets_EDA'!B8</f>
        <v>35634153.380000003</v>
      </c>
      <c r="C16" s="47">
        <f>'[5]Expenses vs Budgets_EDA'!C8</f>
        <v>5915017</v>
      </c>
      <c r="D16" s="47">
        <f>B16-C16</f>
        <v>29719136.380000003</v>
      </c>
      <c r="E16" s="47">
        <f>'[1]EDA Programs'!D7</f>
        <v>29019136.379999995</v>
      </c>
      <c r="F16" s="39">
        <f>D16-E16</f>
        <v>700000.00000000745</v>
      </c>
    </row>
    <row r="17" spans="1:6" x14ac:dyDescent="0.2">
      <c r="A17" s="122" t="s">
        <v>140</v>
      </c>
      <c r="B17" s="47">
        <f>'[5]Expenses vs Budgets_EDA'!B9</f>
        <v>4000000</v>
      </c>
      <c r="C17" s="47">
        <f>'[5]Expenses vs Budgets_EDA'!C9</f>
        <v>60000</v>
      </c>
      <c r="D17" s="47">
        <f>B17-C17</f>
        <v>3940000</v>
      </c>
      <c r="E17" s="47">
        <f>'[1]EDA Programs'!D8</f>
        <v>3940000</v>
      </c>
      <c r="F17" s="39">
        <f>D17-E17</f>
        <v>0</v>
      </c>
    </row>
    <row r="18" spans="1:6" x14ac:dyDescent="0.2">
      <c r="A18" s="122" t="s">
        <v>141</v>
      </c>
      <c r="B18" s="47">
        <f>'[5]Expenses vs Budgets_EDA'!B10</f>
        <v>18000000</v>
      </c>
      <c r="C18" s="47">
        <f>'[5]Expenses vs Budgets_EDA'!C10</f>
        <v>360000</v>
      </c>
      <c r="D18" s="47">
        <f>B18-C18</f>
        <v>17640000</v>
      </c>
      <c r="E18" s="47">
        <f>'[1]EDA Programs'!D9</f>
        <v>17640000</v>
      </c>
      <c r="F18" s="39">
        <f>D18-E18</f>
        <v>0</v>
      </c>
    </row>
    <row r="19" spans="1:6" ht="15" x14ac:dyDescent="0.25">
      <c r="A19" s="78" t="s">
        <v>138</v>
      </c>
      <c r="B19" s="48">
        <f>SUM(B16:B18)</f>
        <v>57634153.380000003</v>
      </c>
      <c r="C19" s="48">
        <f>SUM(C16:C18)</f>
        <v>6335017</v>
      </c>
      <c r="D19" s="48">
        <f>SUM(D16:D18)</f>
        <v>51299136.380000003</v>
      </c>
      <c r="E19" s="48">
        <f>SUM(E16:E18)</f>
        <v>50599136.379999995</v>
      </c>
      <c r="F19" s="48">
        <f>SUM(F16:F18)</f>
        <v>700000.00000000745</v>
      </c>
    </row>
  </sheetData>
  <mergeCells count="2">
    <mergeCell ref="A1:F1"/>
    <mergeCell ref="A14:F14"/>
  </mergeCells>
  <phoneticPr fontId="0" type="noConversion"/>
  <pageMargins left="0.75" right="0.75" top="1" bottom="1" header="0.5" footer="0.5"/>
  <pageSetup scale="90" orientation="landscape" r:id="rId1"/>
  <headerFooter alignWithMargins="0"/>
  <ignoredErrors>
    <ignoredError sqref="E6:E11 E16:E1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F25" sqref="F25"/>
    </sheetView>
  </sheetViews>
  <sheetFormatPr defaultRowHeight="12.75" x14ac:dyDescent="0.2"/>
  <cols>
    <col min="1" max="1" width="46.140625" customWidth="1"/>
    <col min="2" max="2" width="15.28515625" customWidth="1"/>
    <col min="3" max="4" width="14.85546875" customWidth="1"/>
    <col min="5" max="5" width="17.5703125" customWidth="1"/>
    <col min="6" max="6" width="15.42578125" customWidth="1"/>
  </cols>
  <sheetData>
    <row r="1" spans="1:6" ht="18" x14ac:dyDescent="0.25">
      <c r="A1" s="254" t="s">
        <v>119</v>
      </c>
      <c r="B1" s="255"/>
      <c r="C1" s="255"/>
      <c r="D1" s="256"/>
      <c r="E1" s="256"/>
      <c r="F1" s="256"/>
    </row>
    <row r="2" spans="1:6" ht="14.25" x14ac:dyDescent="0.2">
      <c r="A2" s="93"/>
      <c r="B2" s="84" t="s">
        <v>1</v>
      </c>
      <c r="C2" s="84" t="s">
        <v>29</v>
      </c>
      <c r="D2" s="84" t="s">
        <v>29</v>
      </c>
      <c r="E2" s="3" t="s">
        <v>116</v>
      </c>
      <c r="F2" s="84" t="s">
        <v>31</v>
      </c>
    </row>
    <row r="3" spans="1:6" x14ac:dyDescent="0.2">
      <c r="A3" s="2"/>
      <c r="B3" s="84" t="s">
        <v>2</v>
      </c>
      <c r="C3" s="3">
        <v>2011</v>
      </c>
      <c r="D3" s="3">
        <v>2011</v>
      </c>
      <c r="E3" s="3" t="s">
        <v>30</v>
      </c>
      <c r="F3" s="3" t="s">
        <v>32</v>
      </c>
    </row>
    <row r="4" spans="1:6" ht="15" x14ac:dyDescent="0.25">
      <c r="A4" s="5"/>
      <c r="B4" s="84" t="s">
        <v>115</v>
      </c>
      <c r="C4" s="84" t="s">
        <v>3</v>
      </c>
      <c r="D4" s="84" t="s">
        <v>5</v>
      </c>
      <c r="E4" s="3" t="s">
        <v>117</v>
      </c>
      <c r="F4" s="3" t="s">
        <v>33</v>
      </c>
    </row>
    <row r="5" spans="1:6" ht="15" x14ac:dyDescent="0.25">
      <c r="A5" s="5"/>
      <c r="B5" s="94" t="s">
        <v>7</v>
      </c>
      <c r="C5" s="85" t="s">
        <v>8</v>
      </c>
      <c r="D5" s="85" t="s">
        <v>9</v>
      </c>
      <c r="E5" s="85" t="s">
        <v>10</v>
      </c>
      <c r="F5" s="86" t="s">
        <v>35</v>
      </c>
    </row>
    <row r="6" spans="1:6" x14ac:dyDescent="0.2">
      <c r="A6" s="135" t="s">
        <v>120</v>
      </c>
      <c r="B6" s="2"/>
      <c r="C6" s="2"/>
      <c r="D6" s="2"/>
      <c r="E6" s="2"/>
      <c r="F6" s="2"/>
    </row>
    <row r="7" spans="1:6" x14ac:dyDescent="0.2">
      <c r="A7" s="123" t="s">
        <v>121</v>
      </c>
      <c r="B7" s="42">
        <f>'[5]Expenses vs Budgets_OCE'!B8</f>
        <v>1477499.04</v>
      </c>
      <c r="C7" s="42">
        <f>'[5]Expenses vs Budgets_OCE'!C8</f>
        <v>1393247.55</v>
      </c>
      <c r="D7" s="42">
        <f>B7-C7</f>
        <v>84251.489999999991</v>
      </c>
      <c r="E7" s="42">
        <f>'[1]OCE Oversight'!$D$7</f>
        <v>491.82999999937601</v>
      </c>
      <c r="F7" s="42">
        <f>D7-E7</f>
        <v>83759.660000000615</v>
      </c>
    </row>
    <row r="8" spans="1:6" x14ac:dyDescent="0.2">
      <c r="A8" s="123" t="s">
        <v>122</v>
      </c>
      <c r="B8" s="42">
        <f>'[5]Expenses vs Budgets_OCE'!B9</f>
        <v>2067983</v>
      </c>
      <c r="C8" s="42">
        <f>'[5]Expenses vs Budgets_OCE'!C9</f>
        <v>1872038.25</v>
      </c>
      <c r="D8" s="42">
        <f>B8-C8</f>
        <v>195944.75</v>
      </c>
      <c r="E8" s="42">
        <f>'[1]OCE Oversight'!$D$8</f>
        <v>63537.25</v>
      </c>
      <c r="F8" s="42">
        <f>D8-E8</f>
        <v>132407.5</v>
      </c>
    </row>
    <row r="9" spans="1:6" x14ac:dyDescent="0.2">
      <c r="A9" s="110" t="s">
        <v>144</v>
      </c>
      <c r="B9" s="64">
        <f>SUM(B7:B8)</f>
        <v>3545482.04</v>
      </c>
      <c r="C9" s="64">
        <f>SUM(C7:C8)</f>
        <v>3265285.8</v>
      </c>
      <c r="D9" s="64">
        <f>SUM(D7:D8)</f>
        <v>280196.24</v>
      </c>
      <c r="E9" s="64">
        <f>SUM(E7:E8)</f>
        <v>64029.079999999376</v>
      </c>
      <c r="F9" s="64">
        <f>SUM(F7:F8)</f>
        <v>216167.16000000061</v>
      </c>
    </row>
    <row r="10" spans="1:6" x14ac:dyDescent="0.2">
      <c r="A10" s="135" t="s">
        <v>123</v>
      </c>
      <c r="B10" s="42"/>
      <c r="C10" s="39"/>
      <c r="D10" s="42"/>
      <c r="E10" s="42"/>
      <c r="F10" s="42"/>
    </row>
    <row r="11" spans="1:6" x14ac:dyDescent="0.2">
      <c r="A11" s="123" t="s">
        <v>124</v>
      </c>
      <c r="B11" s="42">
        <f>'[5]Expenses vs Budgets_OCE'!B13</f>
        <v>25000</v>
      </c>
      <c r="C11" s="42">
        <f>'[5]Expenses vs Budgets_OCE'!C13</f>
        <v>0</v>
      </c>
      <c r="D11" s="42">
        <f>B11-C11</f>
        <v>25000</v>
      </c>
      <c r="E11" s="42">
        <f>'[1]OCE Oversight'!$D$10</f>
        <v>25000</v>
      </c>
      <c r="F11" s="42">
        <f>D11-E11</f>
        <v>0</v>
      </c>
    </row>
    <row r="12" spans="1:6" ht="15" customHeight="1" x14ac:dyDescent="0.2">
      <c r="A12" s="123" t="s">
        <v>125</v>
      </c>
      <c r="B12" s="42">
        <f>'[5]Expenses vs Budgets_OCE'!B14</f>
        <v>133817</v>
      </c>
      <c r="C12" s="42">
        <f>'[5]Expenses vs Budgets_OCE'!C14</f>
        <v>131196</v>
      </c>
      <c r="D12" s="42">
        <f>B12-C12</f>
        <v>2621</v>
      </c>
      <c r="E12" s="39">
        <f>'[1]OCE Oversight'!$D$11</f>
        <v>0</v>
      </c>
      <c r="F12" s="42">
        <f>D12-E12</f>
        <v>2621</v>
      </c>
    </row>
    <row r="13" spans="1:6" x14ac:dyDescent="0.2">
      <c r="A13" s="110" t="str">
        <f>"Sub-Total: "&amp;PROPER(A10)</f>
        <v>Sub-Total: Memberships-Dues</v>
      </c>
      <c r="B13" s="64">
        <f>SUM(B11:B12)</f>
        <v>158817</v>
      </c>
      <c r="C13" s="64">
        <f>SUM(C11:C12)</f>
        <v>131196</v>
      </c>
      <c r="D13" s="64">
        <f>SUM(D11:D12)</f>
        <v>27621</v>
      </c>
      <c r="E13" s="64">
        <f>SUM(E11:E12)</f>
        <v>25000</v>
      </c>
      <c r="F13" s="64">
        <f>SUM(F11:F12)</f>
        <v>2621</v>
      </c>
    </row>
    <row r="14" spans="1:6" x14ac:dyDescent="0.2">
      <c r="A14" s="135" t="s">
        <v>126</v>
      </c>
      <c r="B14" s="42"/>
      <c r="C14" s="39"/>
      <c r="D14" s="42"/>
      <c r="E14" s="42"/>
      <c r="F14" s="42"/>
    </row>
    <row r="15" spans="1:6" x14ac:dyDescent="0.2">
      <c r="A15" s="123" t="s">
        <v>127</v>
      </c>
      <c r="B15" s="42">
        <f>'[5]Expenses vs Budgets_OCE'!B18</f>
        <v>1308415.71</v>
      </c>
      <c r="C15" s="42">
        <f>'[5]Expenses vs Budgets_OCE'!C18</f>
        <v>387802.07</v>
      </c>
      <c r="D15" s="42">
        <f t="shared" ref="D15:D20" si="0">B15-C15</f>
        <v>920613.6399999999</v>
      </c>
      <c r="E15" s="42">
        <f>'[1]OCE Oversight'!D15</f>
        <v>520613.6399999999</v>
      </c>
      <c r="F15" s="42">
        <f t="shared" ref="F15:F20" si="1">D15-E15</f>
        <v>400000</v>
      </c>
    </row>
    <row r="16" spans="1:6" x14ac:dyDescent="0.2">
      <c r="A16" s="123" t="s">
        <v>128</v>
      </c>
      <c r="B16" s="42">
        <f>'[5]Expenses vs Budgets_OCE'!B19</f>
        <v>21055</v>
      </c>
      <c r="C16" s="42">
        <f>'[5]Expenses vs Budgets_OCE'!C19</f>
        <v>0</v>
      </c>
      <c r="D16" s="42">
        <f t="shared" si="0"/>
        <v>21055</v>
      </c>
      <c r="E16" s="42">
        <f>'[1]OCE Oversight'!D16</f>
        <v>0</v>
      </c>
      <c r="F16" s="42">
        <f t="shared" si="1"/>
        <v>21055</v>
      </c>
    </row>
    <row r="17" spans="1:6" x14ac:dyDescent="0.2">
      <c r="A17" s="123" t="s">
        <v>129</v>
      </c>
      <c r="B17" s="42">
        <f>'[5]Expenses vs Budgets_OCE'!B20</f>
        <v>450000</v>
      </c>
      <c r="C17" s="42">
        <f>'[5]Expenses vs Budgets_OCE'!C20</f>
        <v>391097.89</v>
      </c>
      <c r="D17" s="42">
        <f t="shared" si="0"/>
        <v>58902.109999999986</v>
      </c>
      <c r="E17" s="42">
        <f>'[1]OCE Oversight'!D17</f>
        <v>2.23</v>
      </c>
      <c r="F17" s="42">
        <f t="shared" si="1"/>
        <v>58899.879999999983</v>
      </c>
    </row>
    <row r="18" spans="1:6" x14ac:dyDescent="0.2">
      <c r="A18" s="123" t="s">
        <v>130</v>
      </c>
      <c r="B18" s="42">
        <f>'[5]Expenses vs Budgets_OCE'!B21</f>
        <v>44566.75</v>
      </c>
      <c r="C18" s="42">
        <f>'[5]Expenses vs Budgets_OCE'!C21</f>
        <v>0</v>
      </c>
      <c r="D18" s="42">
        <f t="shared" si="0"/>
        <v>44566.75</v>
      </c>
      <c r="E18" s="42">
        <f>'[1]OCE Oversight'!D18</f>
        <v>44566.749999999978</v>
      </c>
      <c r="F18" s="42">
        <f t="shared" si="1"/>
        <v>0</v>
      </c>
    </row>
    <row r="19" spans="1:6" x14ac:dyDescent="0.2">
      <c r="A19" s="123" t="s">
        <v>131</v>
      </c>
      <c r="B19" s="42">
        <f>'[5]Expenses vs Budgets_OCE'!B22</f>
        <v>1351779.65</v>
      </c>
      <c r="C19" s="42">
        <f>'[5]Expenses vs Budgets_OCE'!C22</f>
        <v>156293.1</v>
      </c>
      <c r="D19" s="42">
        <f t="shared" si="0"/>
        <v>1195486.5499999998</v>
      </c>
      <c r="E19" s="42">
        <f>'[1]OCE Oversight'!D19</f>
        <v>351779.64999999991</v>
      </c>
      <c r="F19" s="42">
        <f t="shared" si="1"/>
        <v>843706.89999999991</v>
      </c>
    </row>
    <row r="20" spans="1:6" ht="15" customHeight="1" x14ac:dyDescent="0.2">
      <c r="A20" s="123" t="s">
        <v>132</v>
      </c>
      <c r="B20" s="42">
        <f>'[5]Expenses vs Budgets_OCE'!B23</f>
        <v>498162.35</v>
      </c>
      <c r="C20" s="42">
        <f>'[5]Expenses vs Budgets_OCE'!C23</f>
        <v>0</v>
      </c>
      <c r="D20" s="42">
        <f t="shared" si="0"/>
        <v>498162.35</v>
      </c>
      <c r="E20" s="42">
        <f>'[1]OCE Oversight'!D20</f>
        <v>498162.35000000009</v>
      </c>
      <c r="F20" s="42">
        <f t="shared" si="1"/>
        <v>0</v>
      </c>
    </row>
    <row r="21" spans="1:6" ht="14.25" customHeight="1" x14ac:dyDescent="0.2">
      <c r="A21" s="110" t="str">
        <f>"Sub-Total: "&amp;PROPER(A14)</f>
        <v>Sub-Total: Oce Evaluation And Related Research</v>
      </c>
      <c r="B21" s="64">
        <f>SUM(B15:B20)</f>
        <v>3673979.46</v>
      </c>
      <c r="C21" s="64">
        <f>SUM(C15:C20)</f>
        <v>935193.05999999994</v>
      </c>
      <c r="D21" s="64">
        <f>SUM(D15:D20)</f>
        <v>2738786.4</v>
      </c>
      <c r="E21" s="64">
        <f>SUM(E15:E20)</f>
        <v>1415124.6199999999</v>
      </c>
      <c r="F21" s="64">
        <f>SUM(F15:F20)</f>
        <v>1323661.7799999998</v>
      </c>
    </row>
    <row r="22" spans="1:6" ht="18" customHeight="1" x14ac:dyDescent="0.2">
      <c r="A22" s="135" t="s">
        <v>133</v>
      </c>
      <c r="B22" s="42"/>
      <c r="C22" s="46"/>
      <c r="D22" s="46"/>
      <c r="E22" s="46"/>
      <c r="F22" s="46"/>
    </row>
    <row r="23" spans="1:6" x14ac:dyDescent="0.2">
      <c r="A23" s="123" t="s">
        <v>134</v>
      </c>
      <c r="B23" s="42">
        <f>'[5]Expenses vs Budgets_OCE'!B27</f>
        <v>122772.31</v>
      </c>
      <c r="C23" s="42">
        <f>'[5]Expenses vs Budgets_OCE'!C27</f>
        <v>0</v>
      </c>
      <c r="D23" s="42">
        <f>B23-C23</f>
        <v>122772.31</v>
      </c>
      <c r="E23" s="111">
        <f>'[1]OCE Oversight'!$D$25</f>
        <v>22772.309999999969</v>
      </c>
      <c r="F23" s="42">
        <f>D23-E23</f>
        <v>100000.00000000003</v>
      </c>
    </row>
    <row r="24" spans="1:6" x14ac:dyDescent="0.2">
      <c r="A24" s="110" t="str">
        <f>"Sub-Total: "&amp;PROPER(A22)</f>
        <v>Sub-Total: Oce Market And Communications</v>
      </c>
      <c r="B24" s="64">
        <f>SUM(B23)</f>
        <v>122772.31</v>
      </c>
      <c r="C24" s="64">
        <f>SUM(C23)</f>
        <v>0</v>
      </c>
      <c r="D24" s="64">
        <f>SUM(D23)</f>
        <v>122772.31</v>
      </c>
      <c r="E24" s="64">
        <f>SUM(E23)</f>
        <v>22772.309999999969</v>
      </c>
      <c r="F24" s="64">
        <f>SUM(F23)</f>
        <v>100000.00000000003</v>
      </c>
    </row>
    <row r="25" spans="1:6" x14ac:dyDescent="0.2">
      <c r="A25" s="110" t="s">
        <v>135</v>
      </c>
      <c r="B25" s="64">
        <f>B9+B13+B21+B24</f>
        <v>7501050.8099999996</v>
      </c>
      <c r="C25" s="64">
        <f>C9+C13+C21+C24</f>
        <v>4331674.8599999994</v>
      </c>
      <c r="D25" s="64">
        <f>D9+D13+D21+D24</f>
        <v>3169375.9499999997</v>
      </c>
      <c r="E25" s="64">
        <f>E9+E13+E21+E24</f>
        <v>1526926.0099999993</v>
      </c>
      <c r="F25" s="64">
        <f>F9+F13+F21+F24</f>
        <v>1642449.9400000004</v>
      </c>
    </row>
  </sheetData>
  <mergeCells count="1">
    <mergeCell ref="A1:F1"/>
  </mergeCells>
  <phoneticPr fontId="11" type="noConversion"/>
  <pageMargins left="0.75" right="0.75" top="1" bottom="1" header="0.5" footer="0.5"/>
  <pageSetup scale="99" orientation="landscape" r:id="rId1"/>
  <headerFooter alignWithMargins="0"/>
  <ignoredErrors>
    <ignoredError sqref="E7 E8 E15:E20 E10:E12 F9 F13 E22:E23 F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selection activeCell="J25" sqref="J25"/>
    </sheetView>
  </sheetViews>
  <sheetFormatPr defaultRowHeight="12.75" x14ac:dyDescent="0.2"/>
  <cols>
    <col min="1" max="1" width="29.85546875" customWidth="1"/>
    <col min="2" max="2" width="15.42578125" customWidth="1"/>
    <col min="3" max="3" width="15.85546875" customWidth="1"/>
    <col min="4" max="4" width="16.28515625" customWidth="1"/>
    <col min="5" max="5" width="17.28515625" customWidth="1"/>
    <col min="6" max="6" width="17.5703125" customWidth="1"/>
    <col min="7" max="7" width="15.85546875" customWidth="1"/>
    <col min="8" max="8" width="17" customWidth="1"/>
    <col min="9" max="9" width="17.7109375" customWidth="1"/>
    <col min="10" max="10" width="15.28515625" customWidth="1"/>
    <col min="11" max="11" width="17.28515625" customWidth="1"/>
    <col min="12" max="12" width="15.42578125" bestFit="1" customWidth="1"/>
  </cols>
  <sheetData>
    <row r="1" spans="1:12" ht="16.5" thickBot="1" x14ac:dyDescent="0.3">
      <c r="A1" s="203" t="s">
        <v>96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2" ht="57" customHeight="1" thickBot="1" x14ac:dyDescent="0.25">
      <c r="A2" s="25"/>
      <c r="B2" s="26" t="s">
        <v>97</v>
      </c>
      <c r="C2" s="26" t="s">
        <v>173</v>
      </c>
      <c r="D2" s="26" t="s">
        <v>172</v>
      </c>
      <c r="E2" s="34" t="s">
        <v>171</v>
      </c>
      <c r="F2" s="26" t="s">
        <v>96</v>
      </c>
      <c r="G2" s="34" t="s">
        <v>209</v>
      </c>
      <c r="H2" s="34" t="s">
        <v>178</v>
      </c>
      <c r="I2" s="34" t="s">
        <v>194</v>
      </c>
      <c r="J2" s="26" t="s">
        <v>195</v>
      </c>
    </row>
    <row r="3" spans="1:12" s="180" customFormat="1" ht="16.5" customHeight="1" x14ac:dyDescent="0.2">
      <c r="A3" s="166"/>
      <c r="B3" s="166" t="s">
        <v>7</v>
      </c>
      <c r="C3" s="166" t="s">
        <v>8</v>
      </c>
      <c r="D3" s="166" t="s">
        <v>47</v>
      </c>
      <c r="E3" s="80" t="s">
        <v>10</v>
      </c>
      <c r="F3" s="166" t="s">
        <v>159</v>
      </c>
      <c r="G3" s="166" t="s">
        <v>156</v>
      </c>
      <c r="H3" s="166" t="s">
        <v>196</v>
      </c>
      <c r="I3" s="166" t="s">
        <v>198</v>
      </c>
      <c r="J3" s="166" t="s">
        <v>199</v>
      </c>
    </row>
    <row r="4" spans="1:12" x14ac:dyDescent="0.2">
      <c r="A4" s="9" t="s">
        <v>0</v>
      </c>
      <c r="B4" s="35">
        <f>'[1]Funding by Budget Category'!F7</f>
        <v>409143330.69999999</v>
      </c>
      <c r="C4" s="35">
        <f>'Revised 2012 EE Budget'!C40</f>
        <v>21446320.279999997</v>
      </c>
      <c r="D4" s="35">
        <f>'Revised 2012 EE Budget'!D40</f>
        <v>-20838941.889999997</v>
      </c>
      <c r="E4" s="35">
        <f>'Revised 2012 EE Budget'!E40</f>
        <v>-104037380.84</v>
      </c>
      <c r="F4" s="35">
        <f t="shared" ref="F4:F9" si="0">SUM(B4:E4)</f>
        <v>305713328.25</v>
      </c>
      <c r="G4" s="35">
        <f>I27</f>
        <v>82000000.200000003</v>
      </c>
      <c r="H4" s="35">
        <f t="shared" ref="H4:H10" si="1">F4+G4</f>
        <v>387713328.44999999</v>
      </c>
      <c r="I4" s="35">
        <f>70366688.32+105796923.78</f>
        <v>176163612.09999999</v>
      </c>
      <c r="J4" s="35">
        <f>H4-I4</f>
        <v>211549716.34999999</v>
      </c>
    </row>
    <row r="5" spans="1:12" x14ac:dyDescent="0.2">
      <c r="A5" s="9" t="s">
        <v>23</v>
      </c>
      <c r="B5" s="35">
        <f>'[1]Funding by Budget Category'!F8</f>
        <v>59031421.199999988</v>
      </c>
      <c r="C5" s="35">
        <f>'Revised 2012 RE Budget'!C12</f>
        <v>12318148.21000001</v>
      </c>
      <c r="D5" s="35">
        <f>'Revised 2012 RE Budget'!D12</f>
        <v>-12318148.21000001</v>
      </c>
      <c r="E5" s="35">
        <f>'Revised 2012 RE Budget'!E12</f>
        <v>-25400000</v>
      </c>
      <c r="F5" s="35">
        <f t="shared" si="0"/>
        <v>33631421.199999988</v>
      </c>
      <c r="G5" s="35">
        <f>I28</f>
        <v>5000000</v>
      </c>
      <c r="H5" s="35">
        <f t="shared" si="1"/>
        <v>38631421.199999988</v>
      </c>
      <c r="I5" s="35">
        <f>5742064+18166605.95</f>
        <v>23908669.949999999</v>
      </c>
      <c r="J5" s="35">
        <f t="shared" ref="J5:J12" si="2">H5-I5</f>
        <v>14722751.249999989</v>
      </c>
    </row>
    <row r="6" spans="1:12" x14ac:dyDescent="0.2">
      <c r="A6" s="9" t="s">
        <v>87</v>
      </c>
      <c r="B6" s="35">
        <f>'[1]Funding by Budget Category'!F9</f>
        <v>107650429.81999999</v>
      </c>
      <c r="C6" s="35">
        <f>'Revised 2012 EDA Budget'!C11</f>
        <v>700000.00000000745</v>
      </c>
      <c r="D6" s="35">
        <f>'Revised 2012 EDA Budget'!D11</f>
        <v>-662649.66000000748</v>
      </c>
      <c r="E6" s="35">
        <f>'Revised 2012 EDA Budget'!E11</f>
        <v>-58642499.239999995</v>
      </c>
      <c r="F6" s="35">
        <f t="shared" si="0"/>
        <v>49045280.919999987</v>
      </c>
      <c r="G6" s="35">
        <f>I29</f>
        <v>0</v>
      </c>
      <c r="H6" s="35">
        <f t="shared" si="1"/>
        <v>49045280.919999987</v>
      </c>
      <c r="I6" s="35">
        <f>954166.66+5838483</f>
        <v>6792649.6600000001</v>
      </c>
      <c r="J6" s="35">
        <f t="shared" si="2"/>
        <v>42252631.25999999</v>
      </c>
    </row>
    <row r="7" spans="1:12" x14ac:dyDescent="0.2">
      <c r="A7" s="9" t="s">
        <v>34</v>
      </c>
      <c r="B7" s="35">
        <f>'[1]Funding by Budget Category'!F10</f>
        <v>8424448.379999999</v>
      </c>
      <c r="C7" s="35">
        <f>'Revised OCE Oversight Budget'!C27</f>
        <v>1642449.9400000004</v>
      </c>
      <c r="D7" s="35">
        <f>'Revised OCE Oversight Budget'!D27</f>
        <v>-1121394.9400000004</v>
      </c>
      <c r="E7" s="35">
        <f>'Revised OCE Oversight Budget'!E27</f>
        <v>-759102.10000000009</v>
      </c>
      <c r="F7" s="35">
        <f t="shared" si="0"/>
        <v>8186401.2799999993</v>
      </c>
      <c r="G7" s="35">
        <f>I30</f>
        <v>6000000</v>
      </c>
      <c r="H7" s="35">
        <f t="shared" si="1"/>
        <v>14186401.279999999</v>
      </c>
      <c r="I7" s="67">
        <f>669045.83+2100000</f>
        <v>2769045.83</v>
      </c>
      <c r="J7" s="35">
        <f t="shared" si="2"/>
        <v>11417355.449999999</v>
      </c>
    </row>
    <row r="8" spans="1:12" x14ac:dyDescent="0.2">
      <c r="A8" s="9" t="s">
        <v>89</v>
      </c>
      <c r="B8" s="35">
        <f>'[1]Funding by Budget Category'!F11</f>
        <v>14374500</v>
      </c>
      <c r="C8" s="35">
        <f>'Revised 2012 EE Budget'!C43</f>
        <v>7415374.2899999991</v>
      </c>
      <c r="D8" s="35">
        <v>0</v>
      </c>
      <c r="E8" s="37">
        <v>0</v>
      </c>
      <c r="F8" s="35">
        <f t="shared" si="0"/>
        <v>21789874.289999999</v>
      </c>
      <c r="G8" s="35">
        <v>0</v>
      </c>
      <c r="H8" s="35">
        <f t="shared" si="1"/>
        <v>21789874.289999999</v>
      </c>
      <c r="I8" s="35">
        <f>2968033.41+18821840.88</f>
        <v>21789874.289999999</v>
      </c>
      <c r="J8" s="35">
        <f t="shared" si="2"/>
        <v>0</v>
      </c>
      <c r="L8" s="17"/>
    </row>
    <row r="9" spans="1:12" x14ac:dyDescent="0.2">
      <c r="A9" s="9" t="s">
        <v>160</v>
      </c>
      <c r="B9" s="35"/>
      <c r="C9" s="35">
        <v>5915864.3200000003</v>
      </c>
      <c r="D9" s="35">
        <f>-C40</f>
        <v>-5915864.3200000003</v>
      </c>
      <c r="E9" s="37">
        <v>0</v>
      </c>
      <c r="F9" s="35">
        <f t="shared" si="0"/>
        <v>0</v>
      </c>
      <c r="G9" s="35">
        <v>0</v>
      </c>
      <c r="H9" s="35">
        <f t="shared" si="1"/>
        <v>0</v>
      </c>
      <c r="I9" s="35">
        <v>0</v>
      </c>
      <c r="J9" s="35">
        <f t="shared" si="2"/>
        <v>0</v>
      </c>
    </row>
    <row r="10" spans="1:12" x14ac:dyDescent="0.2">
      <c r="A10" s="9" t="s">
        <v>200</v>
      </c>
      <c r="B10" s="35">
        <v>0</v>
      </c>
      <c r="C10" s="35">
        <v>0</v>
      </c>
      <c r="D10" s="35">
        <v>0</v>
      </c>
      <c r="E10" s="37">
        <v>0</v>
      </c>
      <c r="F10" s="35">
        <v>0</v>
      </c>
      <c r="G10" s="35">
        <v>0</v>
      </c>
      <c r="H10" s="35">
        <f t="shared" si="1"/>
        <v>0</v>
      </c>
      <c r="I10" s="35">
        <v>0</v>
      </c>
      <c r="J10" s="35">
        <f t="shared" si="2"/>
        <v>0</v>
      </c>
    </row>
    <row r="11" spans="1:12" x14ac:dyDescent="0.2">
      <c r="A11" s="11" t="s">
        <v>28</v>
      </c>
      <c r="B11" s="103">
        <f>SUM(B4:B10)</f>
        <v>598624130.10000002</v>
      </c>
      <c r="C11" s="103">
        <f t="shared" ref="C11:J11" si="3">SUM(C4:C10)</f>
        <v>49438157.040000014</v>
      </c>
      <c r="D11" s="103">
        <f t="shared" si="3"/>
        <v>-40856999.020000011</v>
      </c>
      <c r="E11" s="103">
        <f t="shared" si="3"/>
        <v>-188838982.17999998</v>
      </c>
      <c r="F11" s="103">
        <f t="shared" si="3"/>
        <v>418366305.94</v>
      </c>
      <c r="G11" s="103">
        <f t="shared" si="3"/>
        <v>93000000.200000003</v>
      </c>
      <c r="H11" s="103">
        <f t="shared" si="3"/>
        <v>511366306.13999993</v>
      </c>
      <c r="I11" s="103">
        <f t="shared" si="3"/>
        <v>231423851.82999998</v>
      </c>
      <c r="J11" s="103">
        <f t="shared" si="3"/>
        <v>279942454.31</v>
      </c>
    </row>
    <row r="12" spans="1:12" x14ac:dyDescent="0.2">
      <c r="A12" s="11" t="s">
        <v>88</v>
      </c>
      <c r="B12" s="35">
        <f>'[1]Funding by Budget Category'!F13</f>
        <v>52500000</v>
      </c>
      <c r="C12" s="67">
        <v>0</v>
      </c>
      <c r="D12" s="67">
        <v>200000000</v>
      </c>
      <c r="E12" s="69"/>
      <c r="F12" s="67">
        <f>SUM(B12:D12)</f>
        <v>252500000</v>
      </c>
      <c r="G12" s="67">
        <f>'RQRD Reduction'!B4</f>
        <v>131500000</v>
      </c>
      <c r="H12" s="35">
        <f>F12+G12</f>
        <v>384000000</v>
      </c>
      <c r="I12" s="35">
        <v>384000000</v>
      </c>
      <c r="J12" s="35">
        <f t="shared" si="2"/>
        <v>0</v>
      </c>
    </row>
    <row r="13" spans="1:12" x14ac:dyDescent="0.2">
      <c r="A13" s="11" t="s">
        <v>28</v>
      </c>
      <c r="B13" s="103">
        <f t="shared" ref="B13:J13" si="4">B12+B11</f>
        <v>651124130.10000002</v>
      </c>
      <c r="C13" s="103">
        <f t="shared" si="4"/>
        <v>49438157.040000014</v>
      </c>
      <c r="D13" s="103">
        <f t="shared" si="4"/>
        <v>159143000.97999999</v>
      </c>
      <c r="E13" s="103">
        <f t="shared" si="4"/>
        <v>-188838982.17999998</v>
      </c>
      <c r="F13" s="103">
        <f t="shared" si="4"/>
        <v>670866305.94000006</v>
      </c>
      <c r="G13" s="103">
        <f t="shared" si="4"/>
        <v>224500000.19999999</v>
      </c>
      <c r="H13" s="103">
        <f t="shared" si="4"/>
        <v>895366306.13999987</v>
      </c>
      <c r="I13" s="103">
        <f t="shared" si="4"/>
        <v>615423851.82999992</v>
      </c>
      <c r="J13" s="103">
        <f t="shared" si="4"/>
        <v>279942454.31</v>
      </c>
    </row>
    <row r="14" spans="1:12" ht="18.75" customHeight="1" x14ac:dyDescent="0.2">
      <c r="A14" s="154"/>
      <c r="B14" s="204"/>
      <c r="C14" s="204"/>
      <c r="D14" s="204"/>
      <c r="E14" s="205"/>
      <c r="F14" s="205"/>
      <c r="G14" s="150"/>
      <c r="H14" s="160"/>
      <c r="J14" s="17"/>
      <c r="L14" s="181"/>
    </row>
    <row r="15" spans="1:12" ht="18.75" customHeight="1" x14ac:dyDescent="0.2">
      <c r="A15" s="154"/>
      <c r="B15" s="201" t="s">
        <v>206</v>
      </c>
      <c r="C15" s="201"/>
      <c r="D15" s="201"/>
      <c r="E15" s="191">
        <v>194804019</v>
      </c>
      <c r="F15" s="169"/>
      <c r="G15" s="206" t="s">
        <v>201</v>
      </c>
      <c r="H15" s="206"/>
      <c r="I15" s="206"/>
      <c r="J15" s="186">
        <f>-E13</f>
        <v>188838982.17999998</v>
      </c>
      <c r="L15" s="17"/>
    </row>
    <row r="16" spans="1:12" ht="17.25" customHeight="1" x14ac:dyDescent="0.2">
      <c r="A16" s="154"/>
      <c r="B16" s="201" t="s">
        <v>207</v>
      </c>
      <c r="C16" s="201"/>
      <c r="D16" s="201"/>
      <c r="E16" s="192">
        <v>131500000</v>
      </c>
      <c r="F16" s="169"/>
      <c r="G16" s="207" t="s">
        <v>202</v>
      </c>
      <c r="H16" s="207"/>
      <c r="I16" s="207"/>
      <c r="J16" s="188">
        <f>D13</f>
        <v>159143000.97999999</v>
      </c>
    </row>
    <row r="17" spans="1:11" ht="26.25" customHeight="1" x14ac:dyDescent="0.2">
      <c r="A17" s="154"/>
      <c r="B17" s="201" t="s">
        <v>208</v>
      </c>
      <c r="C17" s="201"/>
      <c r="D17" s="201"/>
      <c r="E17" s="190">
        <f>E15-E16</f>
        <v>63304019</v>
      </c>
      <c r="F17" s="169"/>
      <c r="G17" s="208" t="s">
        <v>210</v>
      </c>
      <c r="H17" s="208"/>
      <c r="I17" s="208"/>
      <c r="J17" s="187">
        <f>J15-J16</f>
        <v>29695981.199999988</v>
      </c>
    </row>
    <row r="18" spans="1:11" ht="18.75" customHeight="1" x14ac:dyDescent="0.2">
      <c r="A18" s="154"/>
      <c r="B18" s="167"/>
      <c r="C18" s="167"/>
      <c r="D18" s="167"/>
      <c r="E18" s="169"/>
      <c r="F18" s="169"/>
      <c r="G18" s="209" t="s">
        <v>203</v>
      </c>
      <c r="H18" s="209"/>
      <c r="I18" s="209"/>
      <c r="J18" s="193">
        <v>63304019</v>
      </c>
    </row>
    <row r="19" spans="1:11" ht="18.75" customHeight="1" x14ac:dyDescent="0.2">
      <c r="A19" s="154"/>
      <c r="B19" s="167"/>
      <c r="C19" s="167"/>
      <c r="D19" s="167"/>
      <c r="E19" s="169"/>
      <c r="F19" s="169"/>
      <c r="G19" s="209" t="s">
        <v>204</v>
      </c>
      <c r="H19" s="209"/>
      <c r="I19" s="209"/>
      <c r="J19" s="187">
        <f>SUM(J17:J18)</f>
        <v>93000000.199999988</v>
      </c>
    </row>
    <row r="20" spans="1:11" ht="9" customHeight="1" x14ac:dyDescent="0.2">
      <c r="A20" s="154"/>
      <c r="B20" s="167"/>
      <c r="C20" s="167"/>
      <c r="D20" s="167"/>
      <c r="E20" s="155"/>
      <c r="F20" s="168"/>
      <c r="G20" s="169"/>
      <c r="H20" s="169"/>
      <c r="I20" s="150"/>
      <c r="J20" s="181" t="s">
        <v>57</v>
      </c>
    </row>
    <row r="21" spans="1:11" ht="16.5" thickBot="1" x14ac:dyDescent="0.3">
      <c r="A21" s="202" t="s">
        <v>102</v>
      </c>
      <c r="B21" s="202"/>
      <c r="C21" s="202"/>
      <c r="D21" s="202"/>
      <c r="E21" s="202"/>
      <c r="F21" s="202"/>
      <c r="G21" s="170"/>
    </row>
    <row r="22" spans="1:11" ht="57.75" customHeight="1" thickBot="1" x14ac:dyDescent="0.25">
      <c r="A22" s="20"/>
      <c r="B22" s="33" t="s">
        <v>98</v>
      </c>
      <c r="C22" s="33" t="s">
        <v>99</v>
      </c>
      <c r="D22" s="33" t="s">
        <v>100</v>
      </c>
      <c r="E22" s="34" t="s">
        <v>103</v>
      </c>
      <c r="F22" s="34" t="s">
        <v>48</v>
      </c>
      <c r="H22" s="184" t="s">
        <v>187</v>
      </c>
      <c r="I22" s="185"/>
      <c r="J22" s="182" t="s">
        <v>57</v>
      </c>
    </row>
    <row r="23" spans="1:11" x14ac:dyDescent="0.2">
      <c r="A23" s="19"/>
      <c r="B23" s="21" t="s">
        <v>7</v>
      </c>
      <c r="C23" s="22" t="s">
        <v>8</v>
      </c>
      <c r="D23" s="22" t="s">
        <v>9</v>
      </c>
      <c r="E23" s="22" t="s">
        <v>10</v>
      </c>
      <c r="F23" s="23" t="s">
        <v>35</v>
      </c>
      <c r="H23" s="177" t="s">
        <v>188</v>
      </c>
      <c r="I23" s="178">
        <f>27000000</f>
        <v>27000000</v>
      </c>
    </row>
    <row r="24" spans="1:11" x14ac:dyDescent="0.2">
      <c r="A24" s="9" t="s">
        <v>0</v>
      </c>
      <c r="B24" s="38">
        <f>'2011 Energy Efficiency Budget'!B34</f>
        <v>325875452.17000002</v>
      </c>
      <c r="C24" s="38">
        <f>'2011 Energy Efficiency Budget'!C34</f>
        <v>139035801.19</v>
      </c>
      <c r="D24" s="38">
        <f>B24-C24</f>
        <v>186839650.98000002</v>
      </c>
      <c r="E24" s="38">
        <f>'2011 Energy Efficiency Budget'!E34</f>
        <v>165393330.69999999</v>
      </c>
      <c r="F24" s="38">
        <f>D24-E24</f>
        <v>21446320.280000031</v>
      </c>
      <c r="H24" s="176" t="s">
        <v>189</v>
      </c>
      <c r="I24" s="179">
        <v>15000000</v>
      </c>
    </row>
    <row r="25" spans="1:11" x14ac:dyDescent="0.2">
      <c r="A25" s="9" t="s">
        <v>23</v>
      </c>
      <c r="B25" s="38">
        <f>'2011 RE - EDA Energy Budgets'!B12</f>
        <v>90312891.00999999</v>
      </c>
      <c r="C25" s="38">
        <f>'2011 RE - EDA Energy Budgets'!C12</f>
        <v>38963321.600000001</v>
      </c>
      <c r="D25" s="38">
        <f>B25-C25</f>
        <v>51349569.409999989</v>
      </c>
      <c r="E25" s="38">
        <f>'2011 RE - EDA Energy Budgets'!E12</f>
        <v>39031421.199999988</v>
      </c>
      <c r="F25" s="38">
        <f>D25-E25</f>
        <v>12318148.210000001</v>
      </c>
      <c r="H25" s="176" t="s">
        <v>190</v>
      </c>
      <c r="I25" s="179">
        <f>30750000.2+5000000+4000000</f>
        <v>39750000.200000003</v>
      </c>
      <c r="K25" s="10"/>
    </row>
    <row r="26" spans="1:11" x14ac:dyDescent="0.2">
      <c r="A26" s="9" t="s">
        <v>87</v>
      </c>
      <c r="B26" s="38">
        <f>'2011 RE - EDA Energy Budgets'!B19</f>
        <v>57634153.380000003</v>
      </c>
      <c r="C26" s="38">
        <f>'2011 RE - EDA Energy Budgets'!C19</f>
        <v>6335017</v>
      </c>
      <c r="D26" s="38">
        <f>B26-C26</f>
        <v>51299136.380000003</v>
      </c>
      <c r="E26" s="38">
        <f>'2011 RE - EDA Energy Budgets'!E19</f>
        <v>50599136.379999995</v>
      </c>
      <c r="F26" s="38">
        <f>D26-E26</f>
        <v>700000.00000000745</v>
      </c>
      <c r="H26" s="176" t="s">
        <v>191</v>
      </c>
      <c r="I26" s="179">
        <v>250000</v>
      </c>
      <c r="K26" s="10"/>
    </row>
    <row r="27" spans="1:11" x14ac:dyDescent="0.2">
      <c r="A27" s="9" t="s">
        <v>34</v>
      </c>
      <c r="B27" s="38">
        <f>'2011 OCE Oversight'!B25</f>
        <v>7501050.8099999996</v>
      </c>
      <c r="C27" s="38">
        <f>'2011 OCE Oversight'!C25</f>
        <v>4331674.8599999994</v>
      </c>
      <c r="D27" s="38">
        <f>B27-C27</f>
        <v>3169375.95</v>
      </c>
      <c r="E27" s="38">
        <f>'2011 OCE Oversight'!E25</f>
        <v>1526926.0099999993</v>
      </c>
      <c r="F27" s="38">
        <f>D27-E27</f>
        <v>1642449.9400000009</v>
      </c>
      <c r="H27" s="176" t="s">
        <v>197</v>
      </c>
      <c r="I27" s="179">
        <f>SUM(I23:I26)</f>
        <v>82000000.200000003</v>
      </c>
      <c r="K27" s="189"/>
    </row>
    <row r="28" spans="1:11" x14ac:dyDescent="0.2">
      <c r="A28" s="9" t="s">
        <v>89</v>
      </c>
      <c r="B28" s="38">
        <f>'[2]5th Revised 2011 budget'!$B$8</f>
        <v>25000000</v>
      </c>
      <c r="C28" s="38">
        <f>'2011 Energy Efficiency Budget'!C36</f>
        <v>3210125.71</v>
      </c>
      <c r="D28" s="38">
        <f>B28-C28</f>
        <v>21789874.289999999</v>
      </c>
      <c r="E28" s="38">
        <f>'2011 Energy Efficiency Budget'!E36</f>
        <v>14374500</v>
      </c>
      <c r="F28" s="38">
        <f>D28-E28</f>
        <v>7415374.2899999991</v>
      </c>
      <c r="H28" s="176" t="s">
        <v>193</v>
      </c>
      <c r="I28" s="179">
        <v>5000000</v>
      </c>
      <c r="K28" s="10"/>
    </row>
    <row r="29" spans="1:11" x14ac:dyDescent="0.2">
      <c r="A29" s="9" t="s">
        <v>160</v>
      </c>
      <c r="B29" s="38">
        <v>0</v>
      </c>
      <c r="C29" s="38">
        <v>0</v>
      </c>
      <c r="D29" s="38">
        <v>0</v>
      </c>
      <c r="E29" s="38">
        <v>0</v>
      </c>
      <c r="F29" s="35">
        <v>5915864.3200000003</v>
      </c>
      <c r="H29" s="176" t="s">
        <v>45</v>
      </c>
      <c r="I29" s="179">
        <v>0</v>
      </c>
    </row>
    <row r="30" spans="1:11" x14ac:dyDescent="0.2">
      <c r="A30" s="9" t="s">
        <v>28</v>
      </c>
      <c r="B30" s="46">
        <f>SUM(B24:B29)</f>
        <v>506323547.37</v>
      </c>
      <c r="C30" s="46">
        <f>SUM(C24:C29)</f>
        <v>191875940.35999998</v>
      </c>
      <c r="D30" s="46">
        <f>SUM(D24:D29)</f>
        <v>314447607.01000005</v>
      </c>
      <c r="E30" s="46">
        <f>SUM(E24:E29)</f>
        <v>270925314.28999996</v>
      </c>
      <c r="F30" s="46">
        <f>SUM(F24:F29)</f>
        <v>49438157.040000036</v>
      </c>
      <c r="H30" s="176" t="s">
        <v>91</v>
      </c>
      <c r="I30" s="179">
        <v>6000000</v>
      </c>
    </row>
    <row r="31" spans="1:11" x14ac:dyDescent="0.2">
      <c r="A31" s="11" t="s">
        <v>88</v>
      </c>
      <c r="B31" s="35">
        <f>'[2]5th Revised 2011 budget'!$D$10</f>
        <v>52500000</v>
      </c>
      <c r="C31" s="35">
        <v>52500000</v>
      </c>
      <c r="D31" s="38">
        <f>B31-C31</f>
        <v>0</v>
      </c>
      <c r="E31" s="35">
        <v>0</v>
      </c>
      <c r="F31" s="35">
        <v>0</v>
      </c>
      <c r="H31" s="176" t="s">
        <v>192</v>
      </c>
      <c r="I31" s="179">
        <v>0</v>
      </c>
    </row>
    <row r="32" spans="1:11" x14ac:dyDescent="0.2">
      <c r="A32" s="9" t="s">
        <v>185</v>
      </c>
      <c r="B32" s="46">
        <f>SUM(B30:B31)</f>
        <v>558823547.37</v>
      </c>
      <c r="C32" s="46">
        <f>SUM(C30:C31)</f>
        <v>244375940.35999998</v>
      </c>
      <c r="D32" s="46">
        <f>SUM(D30:D31)</f>
        <v>314447607.01000005</v>
      </c>
      <c r="E32" s="46">
        <f>SUM(E30:E31)</f>
        <v>270925314.28999996</v>
      </c>
      <c r="F32" s="46">
        <f>SUM(F30:F31)</f>
        <v>49438157.040000036</v>
      </c>
      <c r="H32" s="176" t="s">
        <v>28</v>
      </c>
      <c r="I32" s="179">
        <f>SUM(I27:I31)</f>
        <v>93000000.200000003</v>
      </c>
    </row>
    <row r="33" spans="1:9" x14ac:dyDescent="0.2">
      <c r="H33" s="95" t="s">
        <v>205</v>
      </c>
      <c r="I33" s="35">
        <v>93000000.200000003</v>
      </c>
    </row>
    <row r="34" spans="1:9" ht="15" x14ac:dyDescent="0.25">
      <c r="A34" s="132" t="s">
        <v>46</v>
      </c>
      <c r="E34" t="s">
        <v>57</v>
      </c>
      <c r="I34" s="17"/>
    </row>
    <row r="35" spans="1:9" ht="25.5" x14ac:dyDescent="0.2">
      <c r="B35" s="75" t="s">
        <v>110</v>
      </c>
      <c r="C35" s="75" t="s">
        <v>111</v>
      </c>
      <c r="D35" s="75" t="s">
        <v>80</v>
      </c>
    </row>
    <row r="36" spans="1:9" x14ac:dyDescent="0.2">
      <c r="A36" s="100" t="s">
        <v>79</v>
      </c>
      <c r="B36" s="105">
        <f>[3]Summary!$E$21</f>
        <v>51293.440000000002</v>
      </c>
      <c r="C36" s="105">
        <f>'Revised 2012 EDA Budget'!C17</f>
        <v>88643.78</v>
      </c>
      <c r="D36" s="105">
        <f>-(B36-C36)</f>
        <v>37350.339999999997</v>
      </c>
    </row>
    <row r="38" spans="1:9" ht="15.75" x14ac:dyDescent="0.25">
      <c r="A38" s="104" t="s">
        <v>153</v>
      </c>
      <c r="D38" s="10"/>
      <c r="G38" t="s">
        <v>57</v>
      </c>
    </row>
    <row r="39" spans="1:9" ht="25.5" x14ac:dyDescent="0.25">
      <c r="A39" s="78"/>
      <c r="B39" s="79" t="s">
        <v>154</v>
      </c>
      <c r="C39" s="75" t="s">
        <v>155</v>
      </c>
      <c r="D39" s="133"/>
    </row>
    <row r="40" spans="1:9" x14ac:dyDescent="0.2">
      <c r="A40" s="100" t="s">
        <v>79</v>
      </c>
      <c r="B40" s="105">
        <f>[3]Summary!$E$22</f>
        <v>652396.37</v>
      </c>
      <c r="C40" s="105">
        <v>5915864.3200000003</v>
      </c>
      <c r="D40" s="134"/>
    </row>
  </sheetData>
  <mergeCells count="12">
    <mergeCell ref="B16:D16"/>
    <mergeCell ref="B17:D17"/>
    <mergeCell ref="A21:F21"/>
    <mergeCell ref="A1:J1"/>
    <mergeCell ref="B14:D14"/>
    <mergeCell ref="E14:F14"/>
    <mergeCell ref="G15:I15"/>
    <mergeCell ref="G16:I16"/>
    <mergeCell ref="G17:I17"/>
    <mergeCell ref="G18:I18"/>
    <mergeCell ref="G19:I19"/>
    <mergeCell ref="B15:D15"/>
  </mergeCells>
  <phoneticPr fontId="11" type="noConversion"/>
  <pageMargins left="0.75" right="0.75" top="1" bottom="1" header="0.5" footer="0.5"/>
  <pageSetup scale="68" orientation="landscape" r:id="rId1"/>
  <headerFooter alignWithMargins="0"/>
  <ignoredErrors>
    <ignoredError sqref="D24:E28 H11 J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B30" zoomScale="150" zoomScaleNormal="150" workbookViewId="0">
      <selection activeCell="H41" sqref="H41"/>
    </sheetView>
  </sheetViews>
  <sheetFormatPr defaultRowHeight="12.75" x14ac:dyDescent="0.2"/>
  <cols>
    <col min="1" max="1" width="39.85546875" customWidth="1"/>
    <col min="2" max="2" width="15.5703125" customWidth="1"/>
    <col min="3" max="3" width="16.140625" customWidth="1"/>
    <col min="4" max="5" width="18.42578125" customWidth="1"/>
    <col min="6" max="6" width="17.7109375" customWidth="1"/>
    <col min="7" max="7" width="17" customWidth="1"/>
    <col min="8" max="8" width="15.28515625" style="106" customWidth="1"/>
    <col min="9" max="9" width="16.5703125" customWidth="1"/>
    <col min="10" max="10" width="16.42578125" customWidth="1"/>
  </cols>
  <sheetData>
    <row r="1" spans="1:9" ht="18" customHeight="1" x14ac:dyDescent="0.25">
      <c r="A1" s="212" t="s">
        <v>104</v>
      </c>
      <c r="B1" s="212"/>
      <c r="C1" s="212"/>
      <c r="D1" s="212"/>
      <c r="E1" s="212"/>
      <c r="F1" s="212"/>
      <c r="G1" s="212"/>
      <c r="H1" s="212"/>
      <c r="I1" s="212"/>
    </row>
    <row r="2" spans="1:9" ht="12.75" customHeight="1" x14ac:dyDescent="0.2">
      <c r="A2" s="214"/>
      <c r="B2" s="217" t="s">
        <v>105</v>
      </c>
      <c r="C2" s="217" t="s">
        <v>49</v>
      </c>
      <c r="D2" s="217" t="s">
        <v>157</v>
      </c>
      <c r="E2" s="217" t="s">
        <v>158</v>
      </c>
      <c r="F2" s="220" t="s">
        <v>101</v>
      </c>
      <c r="G2" s="213" t="s">
        <v>174</v>
      </c>
      <c r="H2" s="210" t="s">
        <v>175</v>
      </c>
      <c r="I2" s="211" t="s">
        <v>176</v>
      </c>
    </row>
    <row r="3" spans="1:9" x14ac:dyDescent="0.2">
      <c r="A3" s="215"/>
      <c r="B3" s="218"/>
      <c r="C3" s="218"/>
      <c r="D3" s="218"/>
      <c r="E3" s="218"/>
      <c r="F3" s="221"/>
      <c r="G3" s="213"/>
      <c r="H3" s="210"/>
      <c r="I3" s="211"/>
    </row>
    <row r="4" spans="1:9" x14ac:dyDescent="0.2">
      <c r="A4" s="216"/>
      <c r="B4" s="219"/>
      <c r="C4" s="219"/>
      <c r="D4" s="219"/>
      <c r="E4" s="219"/>
      <c r="F4" s="222"/>
      <c r="G4" s="213"/>
      <c r="H4" s="210"/>
      <c r="I4" s="211"/>
    </row>
    <row r="5" spans="1:9" ht="15" x14ac:dyDescent="0.2">
      <c r="A5" s="70" t="s">
        <v>36</v>
      </c>
      <c r="B5" s="71" t="s">
        <v>7</v>
      </c>
      <c r="C5" s="72" t="s">
        <v>8</v>
      </c>
      <c r="D5" s="72" t="s">
        <v>47</v>
      </c>
      <c r="E5" s="136" t="s">
        <v>10</v>
      </c>
      <c r="F5" s="73" t="s">
        <v>159</v>
      </c>
      <c r="G5" s="77" t="s">
        <v>156</v>
      </c>
      <c r="H5" s="161" t="s">
        <v>183</v>
      </c>
      <c r="I5" s="77" t="s">
        <v>184</v>
      </c>
    </row>
    <row r="6" spans="1:9" x14ac:dyDescent="0.2">
      <c r="A6" s="6" t="s">
        <v>6</v>
      </c>
      <c r="B6" s="13"/>
      <c r="C6" s="3"/>
      <c r="D6" s="3"/>
      <c r="E6" s="74"/>
      <c r="F6" s="74"/>
      <c r="G6" s="69"/>
      <c r="H6" s="156"/>
      <c r="I6" s="69"/>
    </row>
    <row r="7" spans="1:9" x14ac:dyDescent="0.2">
      <c r="A7" s="29" t="s">
        <v>11</v>
      </c>
      <c r="B7" s="39">
        <f>'[1]Energy Efficiency Budgets'!G7</f>
        <v>23178518.810000002</v>
      </c>
      <c r="C7" s="40">
        <f>'2011 Energy Efficiency Budget'!F7</f>
        <v>1178812.1399999969</v>
      </c>
      <c r="D7" s="40">
        <f>-C7</f>
        <v>-1178812.1399999969</v>
      </c>
      <c r="E7" s="107">
        <f>-1500000-1500000</f>
        <v>-3000000</v>
      </c>
      <c r="F7" s="41">
        <f>SUM(B7:E7)</f>
        <v>20178518.810000002</v>
      </c>
      <c r="G7" s="37">
        <f>'[4]Energy Efficiency Programs'!D8</f>
        <v>0</v>
      </c>
      <c r="H7" s="194">
        <v>5000000</v>
      </c>
      <c r="I7" s="37">
        <f>F7+H7</f>
        <v>25178518.810000002</v>
      </c>
    </row>
    <row r="8" spans="1:9" x14ac:dyDescent="0.2">
      <c r="A8" s="29" t="s">
        <v>12</v>
      </c>
      <c r="B8" s="39">
        <f>'[1]Energy Efficiency Budgets'!G8</f>
        <v>16320061.5</v>
      </c>
      <c r="C8" s="40">
        <f>'2011 Energy Efficiency Budget'!F8</f>
        <v>5371344.790000001</v>
      </c>
      <c r="D8" s="40">
        <f>-C8</f>
        <v>-5371344.790000001</v>
      </c>
      <c r="E8" s="107"/>
      <c r="F8" s="41">
        <f>SUM(B8:E8)</f>
        <v>16320061.499999998</v>
      </c>
      <c r="G8" s="37">
        <f>'[4]Energy Efficiency Programs'!D9</f>
        <v>7426322</v>
      </c>
      <c r="H8" s="67">
        <v>5000000</v>
      </c>
      <c r="I8" s="37">
        <f>F8+H8</f>
        <v>21320061.5</v>
      </c>
    </row>
    <row r="9" spans="1:9" x14ac:dyDescent="0.2">
      <c r="A9" s="29" t="s">
        <v>37</v>
      </c>
      <c r="B9" s="39">
        <f>'[1]Energy Efficiency Budgets'!G9</f>
        <v>20275407.84</v>
      </c>
      <c r="C9" s="40">
        <f>'2011 Energy Efficiency Budget'!F9</f>
        <v>1154306.6500000022</v>
      </c>
      <c r="D9" s="40">
        <f>-C9</f>
        <v>-1154306.6500000022</v>
      </c>
      <c r="E9" s="107">
        <f>-3500000-2000000</f>
        <v>-5500000</v>
      </c>
      <c r="F9" s="41">
        <f>SUM(B9:E9)</f>
        <v>14775407.84</v>
      </c>
      <c r="G9" s="37">
        <f>'[4]Energy Efficiency Programs'!D10</f>
        <v>0</v>
      </c>
      <c r="H9" s="67">
        <v>4700000</v>
      </c>
      <c r="I9" s="37">
        <f>F9+H9</f>
        <v>19475407.84</v>
      </c>
    </row>
    <row r="10" spans="1:9" x14ac:dyDescent="0.2">
      <c r="A10" s="29" t="s">
        <v>13</v>
      </c>
      <c r="B10" s="39">
        <f>'[1]Energy Efficiency Budgets'!G10</f>
        <v>32386412.489999998</v>
      </c>
      <c r="C10" s="40">
        <f>'2011 Energy Efficiency Budget'!F10</f>
        <v>5320173.8600000031</v>
      </c>
      <c r="D10" s="40">
        <f>-C10</f>
        <v>-5320173.8600000031</v>
      </c>
      <c r="E10" s="107">
        <f>-5670000+4000000</f>
        <v>-1670000</v>
      </c>
      <c r="F10" s="41">
        <f>SUM(B10:E10)</f>
        <v>30716412.489999998</v>
      </c>
      <c r="G10" s="37">
        <f>'[4]Energy Efficiency Programs'!D11</f>
        <v>6160000</v>
      </c>
      <c r="H10" s="67">
        <f>11800000</f>
        <v>11800000</v>
      </c>
      <c r="I10" s="37">
        <f>F10+H10</f>
        <v>42516412.489999995</v>
      </c>
    </row>
    <row r="11" spans="1:9" x14ac:dyDescent="0.2">
      <c r="A11" s="29" t="s">
        <v>81</v>
      </c>
      <c r="B11" s="39">
        <f>'[1]Energy Efficiency Budgets'!G11</f>
        <v>1651383.8399999999</v>
      </c>
      <c r="C11" s="40">
        <f>'2011 Energy Efficiency Budget'!F11</f>
        <v>110523.77000000002</v>
      </c>
      <c r="D11" s="40">
        <f>-C11</f>
        <v>-110523.77000000002</v>
      </c>
      <c r="E11" s="107">
        <f>-(B11-1309984)</f>
        <v>-341399.83999999985</v>
      </c>
      <c r="F11" s="41">
        <f>SUM(B11:E11)</f>
        <v>1309984</v>
      </c>
      <c r="G11" s="37">
        <f>'[4]Energy Efficiency Programs'!D12</f>
        <v>0</v>
      </c>
      <c r="H11" s="67">
        <v>500000</v>
      </c>
      <c r="I11" s="37">
        <f>F11+H11</f>
        <v>1809984</v>
      </c>
    </row>
    <row r="12" spans="1:9" x14ac:dyDescent="0.2">
      <c r="A12" s="63" t="s">
        <v>16</v>
      </c>
      <c r="B12" s="46">
        <f t="shared" ref="B12:I12" si="0">SUM(B7:B11)</f>
        <v>93811784.480000004</v>
      </c>
      <c r="C12" s="46">
        <f t="shared" si="0"/>
        <v>13135161.210000003</v>
      </c>
      <c r="D12" s="46">
        <f t="shared" si="0"/>
        <v>-13135161.210000003</v>
      </c>
      <c r="E12" s="46">
        <f t="shared" si="0"/>
        <v>-10511399.84</v>
      </c>
      <c r="F12" s="46">
        <f t="shared" si="0"/>
        <v>83300384.640000001</v>
      </c>
      <c r="G12" s="46">
        <f t="shared" si="0"/>
        <v>13586322</v>
      </c>
      <c r="H12" s="46">
        <f t="shared" si="0"/>
        <v>27000000</v>
      </c>
      <c r="I12" s="46">
        <f t="shared" si="0"/>
        <v>110300384.64</v>
      </c>
    </row>
    <row r="13" spans="1:9" x14ac:dyDescent="0.2">
      <c r="A13" s="157" t="s">
        <v>177</v>
      </c>
      <c r="B13" s="174"/>
      <c r="C13" s="174"/>
      <c r="D13" s="174"/>
      <c r="E13" s="175"/>
      <c r="F13" s="175"/>
      <c r="G13" s="174"/>
      <c r="H13" s="174">
        <f>'Revised 2012 budget'!I23</f>
        <v>27000000</v>
      </c>
      <c r="I13" s="174"/>
    </row>
    <row r="14" spans="1:9" x14ac:dyDescent="0.2">
      <c r="A14" s="6" t="s">
        <v>14</v>
      </c>
      <c r="B14" s="46"/>
      <c r="C14" s="46"/>
      <c r="D14" s="46"/>
      <c r="E14" s="45"/>
      <c r="F14" s="45"/>
      <c r="G14" s="46"/>
      <c r="H14" s="35"/>
      <c r="I14" s="37" t="s">
        <v>57</v>
      </c>
    </row>
    <row r="15" spans="1:9" x14ac:dyDescent="0.2">
      <c r="A15" s="29" t="s">
        <v>74</v>
      </c>
      <c r="B15" s="41">
        <f>'[1]Energy Efficiency Budgets'!$G$16</f>
        <v>35000000</v>
      </c>
      <c r="C15" s="40">
        <f>'2011 Energy Efficiency Budget'!F14</f>
        <v>2423546.1400000006</v>
      </c>
      <c r="D15" s="40">
        <f>-C15</f>
        <v>-2423546.1400000006</v>
      </c>
      <c r="E15" s="107">
        <v>0</v>
      </c>
      <c r="F15" s="41">
        <f>SUM(B15:E15)</f>
        <v>35000000</v>
      </c>
      <c r="G15" s="38">
        <f>'[4]Energy Efficiency Programs'!$D$16</f>
        <v>0</v>
      </c>
      <c r="H15" s="35">
        <v>15000000</v>
      </c>
      <c r="I15" s="37">
        <f>F15+H15</f>
        <v>50000000</v>
      </c>
    </row>
    <row r="16" spans="1:9" x14ac:dyDescent="0.2">
      <c r="A16" s="63" t="s">
        <v>59</v>
      </c>
      <c r="B16" s="46">
        <f t="shared" ref="B16:I16" si="1">SUM(B15)</f>
        <v>35000000</v>
      </c>
      <c r="C16" s="46">
        <f t="shared" si="1"/>
        <v>2423546.1400000006</v>
      </c>
      <c r="D16" s="46">
        <f t="shared" si="1"/>
        <v>-2423546.1400000006</v>
      </c>
      <c r="E16" s="46">
        <f t="shared" si="1"/>
        <v>0</v>
      </c>
      <c r="F16" s="46">
        <f t="shared" si="1"/>
        <v>35000000</v>
      </c>
      <c r="G16" s="46">
        <f t="shared" si="1"/>
        <v>0</v>
      </c>
      <c r="H16" s="46">
        <f t="shared" si="1"/>
        <v>15000000</v>
      </c>
      <c r="I16" s="46">
        <f t="shared" si="1"/>
        <v>50000000</v>
      </c>
    </row>
    <row r="17" spans="1:10" x14ac:dyDescent="0.2">
      <c r="A17" s="157" t="s">
        <v>177</v>
      </c>
      <c r="B17" s="175"/>
      <c r="C17" s="175"/>
      <c r="D17" s="175"/>
      <c r="E17" s="175"/>
      <c r="F17" s="175"/>
      <c r="G17" s="174"/>
      <c r="H17" s="174">
        <f>'Revised 2012 budget'!I24</f>
        <v>15000000</v>
      </c>
      <c r="I17" s="174"/>
    </row>
    <row r="18" spans="1:10" x14ac:dyDescent="0.2">
      <c r="A18" s="6" t="s">
        <v>17</v>
      </c>
      <c r="B18" s="43"/>
      <c r="C18" s="43"/>
      <c r="D18" s="43"/>
      <c r="E18" s="43"/>
      <c r="F18" s="41"/>
      <c r="G18" s="2"/>
      <c r="H18" s="35"/>
      <c r="I18" s="37"/>
    </row>
    <row r="19" spans="1:10" x14ac:dyDescent="0.2">
      <c r="A19" s="29" t="s">
        <v>75</v>
      </c>
      <c r="B19" s="41">
        <f>'[1]Energy Efficiency Budgets'!G21</f>
        <v>10024122.02</v>
      </c>
      <c r="C19" s="41">
        <f>'2011 Energy Efficiency Budget'!F17</f>
        <v>713989.30999999959</v>
      </c>
      <c r="D19" s="40">
        <f t="shared" ref="D19:D30" si="2">-C19</f>
        <v>-713989.30999999959</v>
      </c>
      <c r="E19" s="107">
        <v>-5000000</v>
      </c>
      <c r="F19" s="41">
        <f t="shared" ref="F19:F30" si="3">SUM(B19:E19)</f>
        <v>5024122.0199999996</v>
      </c>
      <c r="G19" s="39">
        <f>'[4]Energy Efficiency Programs'!D20</f>
        <v>3373909.14</v>
      </c>
      <c r="H19" s="198">
        <v>1500000</v>
      </c>
      <c r="I19" s="37">
        <f t="shared" ref="I19:I30" si="4">F19+H19</f>
        <v>6524122.0199999996</v>
      </c>
    </row>
    <row r="20" spans="1:10" x14ac:dyDescent="0.2">
      <c r="A20" s="29" t="s">
        <v>76</v>
      </c>
      <c r="B20" s="39">
        <f>'[1]Energy Efficiency Budgets'!G22</f>
        <v>65699999.969999999</v>
      </c>
      <c r="C20" s="39">
        <f>'2011 Energy Efficiency Budget'!F18</f>
        <v>3256702.4499999955</v>
      </c>
      <c r="D20" s="40">
        <f t="shared" si="2"/>
        <v>-3256702.4499999955</v>
      </c>
      <c r="E20" s="40">
        <f>-8330000+2604019</f>
        <v>-5725981</v>
      </c>
      <c r="F20" s="41">
        <f t="shared" si="3"/>
        <v>59974018.969999991</v>
      </c>
      <c r="G20" s="39">
        <f>'[4]Energy Efficiency Programs'!D21</f>
        <v>29617419.539999999</v>
      </c>
      <c r="H20" s="198">
        <v>1900000</v>
      </c>
      <c r="I20" s="37">
        <f t="shared" si="4"/>
        <v>61874018.969999991</v>
      </c>
    </row>
    <row r="21" spans="1:10" x14ac:dyDescent="0.2">
      <c r="A21" s="29" t="s">
        <v>77</v>
      </c>
      <c r="B21" s="39">
        <f>'[1]Energy Efficiency Budgets'!G23</f>
        <v>10310817.58</v>
      </c>
      <c r="C21" s="39">
        <f>'2011 Energy Efficiency Budget'!F19</f>
        <v>182117.29999999981</v>
      </c>
      <c r="D21" s="40">
        <f t="shared" si="2"/>
        <v>-182117.29999999981</v>
      </c>
      <c r="E21" s="183">
        <f>-6000000-1800000</f>
        <v>-7800000</v>
      </c>
      <c r="F21" s="41">
        <f t="shared" si="3"/>
        <v>2510817.5799999982</v>
      </c>
      <c r="G21" s="39">
        <f>'[4]Energy Efficiency Programs'!D22</f>
        <v>1918374.6</v>
      </c>
      <c r="H21" s="198">
        <v>100000</v>
      </c>
      <c r="I21" s="37">
        <f t="shared" si="4"/>
        <v>2610817.5799999982</v>
      </c>
    </row>
    <row r="22" spans="1:10" x14ac:dyDescent="0.2">
      <c r="A22" s="29" t="s">
        <v>58</v>
      </c>
      <c r="B22" s="39">
        <f>'[1]Energy Efficiency Budgets'!G24</f>
        <v>60555958</v>
      </c>
      <c r="C22" s="39">
        <f>'2011 Energy Efficiency Budget'!F20</f>
        <v>833991.61999999732</v>
      </c>
      <c r="D22" s="40">
        <f t="shared" si="2"/>
        <v>-833991.61999999732</v>
      </c>
      <c r="E22" s="40">
        <f>-13500000</f>
        <v>-13500000</v>
      </c>
      <c r="F22" s="41">
        <f t="shared" si="3"/>
        <v>47055958</v>
      </c>
      <c r="G22" s="39">
        <f>'[4]Energy Efficiency Programs'!D23</f>
        <v>30068467.699999999</v>
      </c>
      <c r="H22" s="197">
        <v>3000000</v>
      </c>
      <c r="I22" s="37">
        <f t="shared" si="4"/>
        <v>50055958</v>
      </c>
    </row>
    <row r="23" spans="1:10" x14ac:dyDescent="0.2">
      <c r="A23" s="29" t="s">
        <v>18</v>
      </c>
      <c r="B23" s="39">
        <f>'[1]Energy Efficiency Budgets'!G25</f>
        <v>20000000</v>
      </c>
      <c r="C23" s="39">
        <f>'2011 Energy Efficiency Budget'!F21</f>
        <v>0</v>
      </c>
      <c r="D23" s="40">
        <f t="shared" si="2"/>
        <v>0</v>
      </c>
      <c r="E23" s="40">
        <v>-6000000</v>
      </c>
      <c r="F23" s="41">
        <f t="shared" si="3"/>
        <v>14000000</v>
      </c>
      <c r="G23" s="39">
        <f>'[4]Energy Efficiency Programs'!D24</f>
        <v>5247500</v>
      </c>
      <c r="H23" s="35">
        <v>3000000</v>
      </c>
      <c r="I23" s="37">
        <f t="shared" si="4"/>
        <v>17000000</v>
      </c>
    </row>
    <row r="24" spans="1:10" x14ac:dyDescent="0.2">
      <c r="A24" s="29" t="s">
        <v>78</v>
      </c>
      <c r="B24" s="39">
        <f>'[1]Energy Efficiency Budgets'!G26</f>
        <v>5999999.9999999972</v>
      </c>
      <c r="C24" s="39">
        <f>'2011 Energy Efficiency Budget'!F22</f>
        <v>-139583.24999999627</v>
      </c>
      <c r="D24" s="40">
        <f t="shared" si="2"/>
        <v>139583.24999999627</v>
      </c>
      <c r="E24" s="40">
        <v>-1000000</v>
      </c>
      <c r="F24" s="41">
        <f t="shared" si="3"/>
        <v>4999999.9999999972</v>
      </c>
      <c r="G24" s="39">
        <f>'[4]Energy Efficiency Programs'!D25</f>
        <v>2763121</v>
      </c>
      <c r="H24" s="197"/>
      <c r="I24" s="37">
        <f t="shared" si="4"/>
        <v>4999999.9999999972</v>
      </c>
    </row>
    <row r="25" spans="1:10" x14ac:dyDescent="0.2">
      <c r="A25" s="29" t="s">
        <v>38</v>
      </c>
      <c r="B25" s="39">
        <f>'[1]Energy Efficiency Budgets'!G27</f>
        <v>41337218</v>
      </c>
      <c r="C25" s="39">
        <f>'2011 Energy Efficiency Budget'!F23</f>
        <v>-174286</v>
      </c>
      <c r="D25" s="40">
        <f t="shared" si="2"/>
        <v>174286</v>
      </c>
      <c r="E25" s="40">
        <f>-1000000+3000000</f>
        <v>2000000</v>
      </c>
      <c r="F25" s="41">
        <f t="shared" si="3"/>
        <v>43337218</v>
      </c>
      <c r="G25" s="39">
        <f>'[4]Energy Efficiency Programs'!D26</f>
        <v>12289768.48</v>
      </c>
      <c r="H25" s="199">
        <f>10794944.2+2500000+4000000</f>
        <v>17294944.199999999</v>
      </c>
      <c r="I25" s="37">
        <f t="shared" si="4"/>
        <v>60632162.200000003</v>
      </c>
      <c r="J25" s="17"/>
    </row>
    <row r="26" spans="1:10" x14ac:dyDescent="0.2">
      <c r="A26" s="29" t="s">
        <v>60</v>
      </c>
      <c r="B26" s="39">
        <f>'[1]Energy Efficiency Budgets'!G28</f>
        <v>0</v>
      </c>
      <c r="C26" s="39">
        <f>'2011 Energy Efficiency Budget'!F24</f>
        <v>561230</v>
      </c>
      <c r="D26" s="40">
        <f t="shared" si="2"/>
        <v>-561230</v>
      </c>
      <c r="E26" s="40"/>
      <c r="F26" s="41">
        <f t="shared" si="3"/>
        <v>0</v>
      </c>
      <c r="G26" s="39">
        <f>'[4]Energy Efficiency Programs'!D27</f>
        <v>0</v>
      </c>
      <c r="H26" s="197"/>
      <c r="I26" s="37">
        <f t="shared" si="4"/>
        <v>0</v>
      </c>
    </row>
    <row r="27" spans="1:10" x14ac:dyDescent="0.2">
      <c r="A27" s="29" t="s">
        <v>61</v>
      </c>
      <c r="B27" s="39">
        <f>'[1]Energy Efficiency Budgets'!G29</f>
        <v>1575000</v>
      </c>
      <c r="C27" s="39">
        <f>'2011 Energy Efficiency Budget'!F25</f>
        <v>12669.209999999963</v>
      </c>
      <c r="D27" s="40">
        <f t="shared" si="2"/>
        <v>-12669.209999999963</v>
      </c>
      <c r="E27" s="40">
        <f>-500000</f>
        <v>-500000</v>
      </c>
      <c r="F27" s="39">
        <f t="shared" si="3"/>
        <v>1075000</v>
      </c>
      <c r="G27" s="37">
        <v>0</v>
      </c>
      <c r="H27" s="197">
        <v>500000</v>
      </c>
      <c r="I27" s="37">
        <f t="shared" si="4"/>
        <v>1575000</v>
      </c>
    </row>
    <row r="28" spans="1:10" x14ac:dyDescent="0.2">
      <c r="A28" s="96" t="s">
        <v>94</v>
      </c>
      <c r="B28" s="39">
        <f>'[1]Energy Efficiency Budgets'!G30</f>
        <v>28763000.68</v>
      </c>
      <c r="C28" s="39">
        <f>'2011 Energy Efficiency Budget'!F26</f>
        <v>33403.89999999851</v>
      </c>
      <c r="D28" s="40">
        <f t="shared" si="2"/>
        <v>-33403.89999999851</v>
      </c>
      <c r="E28" s="40">
        <f>-8000000-13000000</f>
        <v>-21000000</v>
      </c>
      <c r="F28" s="39">
        <f t="shared" si="3"/>
        <v>7763000.6799999997</v>
      </c>
      <c r="G28" s="39">
        <f>'[4]Energy Efficiency Programs'!D28</f>
        <v>6932041.3200000003</v>
      </c>
      <c r="H28" s="199">
        <v>12455056</v>
      </c>
      <c r="I28" s="37">
        <f t="shared" si="4"/>
        <v>20218056.68</v>
      </c>
    </row>
    <row r="29" spans="1:10" x14ac:dyDescent="0.2">
      <c r="A29" s="123" t="s">
        <v>142</v>
      </c>
      <c r="B29" s="39">
        <f>'[1]Energy Efficiency Budgets'!G31</f>
        <v>10000000</v>
      </c>
      <c r="C29" s="39">
        <f>'2011 Energy Efficiency Budget'!F27</f>
        <v>0</v>
      </c>
      <c r="D29" s="40">
        <f t="shared" si="2"/>
        <v>0</v>
      </c>
      <c r="E29" s="40">
        <v>-10000000</v>
      </c>
      <c r="F29" s="41">
        <f t="shared" si="3"/>
        <v>0</v>
      </c>
      <c r="G29" s="39">
        <f>'[4]Energy Efficiency Programs'!D30</f>
        <v>0</v>
      </c>
      <c r="H29" s="197"/>
      <c r="I29" s="37">
        <f t="shared" si="4"/>
        <v>0</v>
      </c>
    </row>
    <row r="30" spans="1:10" x14ac:dyDescent="0.2">
      <c r="A30" s="96" t="s">
        <v>152</v>
      </c>
      <c r="B30" s="41">
        <f>'[1]Energy Efficiency Budgets'!G32</f>
        <v>5000000</v>
      </c>
      <c r="C30" s="41">
        <v>0</v>
      </c>
      <c r="D30" s="40">
        <f t="shared" si="2"/>
        <v>0</v>
      </c>
      <c r="E30" s="107">
        <v>-5000000</v>
      </c>
      <c r="F30" s="41">
        <f t="shared" si="3"/>
        <v>0</v>
      </c>
      <c r="G30" s="39">
        <f>'[4]Energy Efficiency Programs'!D31</f>
        <v>0</v>
      </c>
      <c r="H30" s="35"/>
      <c r="I30" s="37">
        <f t="shared" si="4"/>
        <v>0</v>
      </c>
    </row>
    <row r="31" spans="1:10" x14ac:dyDescent="0.2">
      <c r="A31" s="63" t="s">
        <v>19</v>
      </c>
      <c r="B31" s="45">
        <f t="shared" ref="B31:I31" si="5">SUM(B19:B30)</f>
        <v>259266116.25</v>
      </c>
      <c r="C31" s="45">
        <f t="shared" si="5"/>
        <v>5280234.5399999944</v>
      </c>
      <c r="D31" s="45">
        <f t="shared" si="5"/>
        <v>-5280234.5399999944</v>
      </c>
      <c r="E31" s="45">
        <f t="shared" si="5"/>
        <v>-73525981</v>
      </c>
      <c r="F31" s="45">
        <f t="shared" si="5"/>
        <v>185740135.25</v>
      </c>
      <c r="G31" s="46">
        <f t="shared" si="5"/>
        <v>92210601.780000001</v>
      </c>
      <c r="H31" s="46">
        <f t="shared" si="5"/>
        <v>39750000.200000003</v>
      </c>
      <c r="I31" s="46">
        <f t="shared" si="5"/>
        <v>225490135.44999999</v>
      </c>
    </row>
    <row r="32" spans="1:10" x14ac:dyDescent="0.2">
      <c r="A32" s="157" t="s">
        <v>177</v>
      </c>
      <c r="B32" s="175"/>
      <c r="C32" s="175"/>
      <c r="D32" s="175"/>
      <c r="E32" s="175"/>
      <c r="F32" s="175"/>
      <c r="G32" s="174"/>
      <c r="H32" s="174">
        <f>'Revised 2012 budget'!I25</f>
        <v>39750000.200000003</v>
      </c>
      <c r="I32" s="174"/>
      <c r="J32" s="196"/>
    </row>
    <row r="33" spans="1:9" x14ac:dyDescent="0.2">
      <c r="A33" s="6" t="s">
        <v>20</v>
      </c>
      <c r="B33" s="41"/>
      <c r="C33" s="107"/>
      <c r="D33" s="107"/>
      <c r="E33" s="107"/>
      <c r="F33" s="41"/>
      <c r="G33" s="2"/>
      <c r="H33" s="35"/>
      <c r="I33" s="37"/>
    </row>
    <row r="34" spans="1:9" x14ac:dyDescent="0.2">
      <c r="A34" s="29" t="s">
        <v>92</v>
      </c>
      <c r="B34" s="41">
        <f>'[1]Energy Efficiency Budgets'!G37</f>
        <v>195429.96999999997</v>
      </c>
      <c r="C34" s="41">
        <f>'2011 Energy Efficiency Budget'!F30</f>
        <v>287527.5</v>
      </c>
      <c r="D34" s="40"/>
      <c r="E34" s="107"/>
      <c r="F34" s="41">
        <f>SUM(B34:E34)</f>
        <v>482957.47</v>
      </c>
      <c r="G34" s="39">
        <f>'[4]Energy Efficiency Programs'!D34</f>
        <v>0</v>
      </c>
      <c r="H34" s="35"/>
      <c r="I34" s="37">
        <f>F34+H34</f>
        <v>482957.47</v>
      </c>
    </row>
    <row r="35" spans="1:9" x14ac:dyDescent="0.2">
      <c r="A35" s="101" t="s">
        <v>82</v>
      </c>
      <c r="B35" s="41">
        <f>'[1]Energy Efficiency Budgets'!G38</f>
        <v>0</v>
      </c>
      <c r="C35" s="41">
        <f>'2011 Energy Efficiency Budget'!F31</f>
        <v>0</v>
      </c>
      <c r="D35" s="40">
        <f>-C35</f>
        <v>0</v>
      </c>
      <c r="E35" s="107"/>
      <c r="F35" s="41">
        <f>SUM(B35:E35)</f>
        <v>0</v>
      </c>
      <c r="G35" s="39">
        <f>'[4]Energy Efficiency Programs'!D35</f>
        <v>0</v>
      </c>
      <c r="H35" s="35"/>
      <c r="I35" s="37">
        <f>F35+H35</f>
        <v>0</v>
      </c>
    </row>
    <row r="36" spans="1:9" x14ac:dyDescent="0.2">
      <c r="A36" s="96" t="s">
        <v>90</v>
      </c>
      <c r="B36" s="41">
        <f>'[1]Energy Efficiency Budgets'!G39</f>
        <v>870000</v>
      </c>
      <c r="C36" s="41">
        <f>'2011 Energy Efficiency Budget'!F32</f>
        <v>319850.89</v>
      </c>
      <c r="D36" s="40"/>
      <c r="E36" s="107"/>
      <c r="F36" s="41">
        <f>SUM(B36:E36)</f>
        <v>1189850.8900000001</v>
      </c>
      <c r="G36" s="39">
        <f>'[4]Energy Efficiency Programs'!D36</f>
        <v>0</v>
      </c>
      <c r="H36" s="35">
        <v>250000</v>
      </c>
      <c r="I36" s="37">
        <f>F36+H36</f>
        <v>1439850.8900000001</v>
      </c>
    </row>
    <row r="37" spans="1:9" x14ac:dyDescent="0.2">
      <c r="A37" s="101" t="s">
        <v>151</v>
      </c>
      <c r="B37" s="41">
        <f>'[1]Energy Efficiency Budgets'!G40</f>
        <v>20000000</v>
      </c>
      <c r="C37" s="41">
        <v>0</v>
      </c>
      <c r="D37" s="40">
        <f>-C37</f>
        <v>0</v>
      </c>
      <c r="E37" s="107">
        <v>-20000000</v>
      </c>
      <c r="F37" s="41">
        <f>SUM(B37:E37)</f>
        <v>0</v>
      </c>
      <c r="G37" s="39">
        <f>'[4]Energy Efficiency Programs'!D37</f>
        <v>0</v>
      </c>
      <c r="H37" s="35"/>
      <c r="I37" s="37">
        <f>F37+H37</f>
        <v>0</v>
      </c>
    </row>
    <row r="38" spans="1:9" x14ac:dyDescent="0.2">
      <c r="A38" s="87" t="s">
        <v>21</v>
      </c>
      <c r="B38" s="45">
        <f t="shared" ref="B38:G38" si="6">SUM(B34:B37)</f>
        <v>21065429.969999999</v>
      </c>
      <c r="C38" s="45">
        <f t="shared" si="6"/>
        <v>607378.39</v>
      </c>
      <c r="D38" s="45">
        <f t="shared" si="6"/>
        <v>0</v>
      </c>
      <c r="E38" s="45">
        <f t="shared" si="6"/>
        <v>-20000000</v>
      </c>
      <c r="F38" s="45">
        <f t="shared" si="6"/>
        <v>1672808.36</v>
      </c>
      <c r="G38" s="46">
        <f t="shared" si="6"/>
        <v>0</v>
      </c>
      <c r="H38" s="46">
        <f>SUM(H34:H37)</f>
        <v>250000</v>
      </c>
      <c r="I38" s="46">
        <f>SUM(I34:I37)</f>
        <v>1922808.36</v>
      </c>
    </row>
    <row r="39" spans="1:9" x14ac:dyDescent="0.2">
      <c r="A39" s="157" t="s">
        <v>177</v>
      </c>
      <c r="B39" s="175"/>
      <c r="C39" s="175"/>
      <c r="D39" s="175"/>
      <c r="E39" s="175"/>
      <c r="F39" s="175"/>
      <c r="G39" s="174"/>
      <c r="H39" s="174">
        <f>'Revised 2012 budget'!I26</f>
        <v>250000</v>
      </c>
      <c r="I39" s="174"/>
    </row>
    <row r="40" spans="1:9" x14ac:dyDescent="0.2">
      <c r="A40" s="9" t="s">
        <v>22</v>
      </c>
      <c r="B40" s="46">
        <f t="shared" ref="B40:G40" si="7">B12+B16+B31+B38</f>
        <v>409143330.70000005</v>
      </c>
      <c r="C40" s="46">
        <f t="shared" si="7"/>
        <v>21446320.279999997</v>
      </c>
      <c r="D40" s="46">
        <f t="shared" si="7"/>
        <v>-20838941.889999997</v>
      </c>
      <c r="E40" s="46">
        <f t="shared" si="7"/>
        <v>-104037380.84</v>
      </c>
      <c r="F40" s="46">
        <f t="shared" si="7"/>
        <v>305713328.25</v>
      </c>
      <c r="G40" s="46">
        <f t="shared" si="7"/>
        <v>105796923.78</v>
      </c>
      <c r="H40" s="46">
        <f>H12+H16+H31+H38</f>
        <v>82000000.200000003</v>
      </c>
      <c r="I40" s="46">
        <f>I12+I16+I31+I38</f>
        <v>387713328.44999999</v>
      </c>
    </row>
    <row r="41" spans="1:9" x14ac:dyDescent="0.2">
      <c r="A41" s="157" t="s">
        <v>186</v>
      </c>
      <c r="B41" s="158"/>
      <c r="C41" s="158"/>
      <c r="D41" s="158"/>
      <c r="E41" s="158"/>
      <c r="F41" s="158"/>
      <c r="G41" s="158"/>
      <c r="H41" s="174">
        <f>H13+H17+H32+H39</f>
        <v>82000000.200000003</v>
      </c>
      <c r="I41" s="159"/>
    </row>
    <row r="42" spans="1:9" x14ac:dyDescent="0.2">
      <c r="H42" s="17"/>
    </row>
    <row r="43" spans="1:9" ht="15" x14ac:dyDescent="0.25">
      <c r="A43" s="131" t="s">
        <v>93</v>
      </c>
      <c r="B43" s="103">
        <f>'[1]Funding by Budget Category'!$F$11</f>
        <v>14374500</v>
      </c>
      <c r="C43" s="103">
        <f>'2011 Energy Efficiency Budget'!F36</f>
        <v>7415374.2899999991</v>
      </c>
      <c r="D43" s="103">
        <v>0</v>
      </c>
      <c r="E43" s="103">
        <v>0</v>
      </c>
      <c r="F43" s="46">
        <f>SUM(B43:D43)</f>
        <v>21789874.289999999</v>
      </c>
      <c r="G43" s="103">
        <f>F43</f>
        <v>21789874.289999999</v>
      </c>
      <c r="H43" s="103">
        <v>0</v>
      </c>
      <c r="I43" s="103">
        <v>0</v>
      </c>
    </row>
    <row r="45" spans="1:9" x14ac:dyDescent="0.2">
      <c r="H45" s="172"/>
    </row>
  </sheetData>
  <mergeCells count="10">
    <mergeCell ref="H2:H4"/>
    <mergeCell ref="I2:I4"/>
    <mergeCell ref="A1:I1"/>
    <mergeCell ref="G2:G4"/>
    <mergeCell ref="A2:A4"/>
    <mergeCell ref="B2:B4"/>
    <mergeCell ref="C2:C4"/>
    <mergeCell ref="F2:F4"/>
    <mergeCell ref="D2:D4"/>
    <mergeCell ref="E2:E4"/>
  </mergeCells>
  <phoneticPr fontId="14" type="noConversion"/>
  <pageMargins left="0.75" right="0.75" top="1" bottom="1" header="0.5" footer="0.5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E31" sqref="E31"/>
    </sheetView>
  </sheetViews>
  <sheetFormatPr defaultRowHeight="12.75" x14ac:dyDescent="0.2"/>
  <cols>
    <col min="1" max="1" width="39.85546875" customWidth="1"/>
    <col min="2" max="2" width="16.42578125" customWidth="1"/>
    <col min="3" max="3" width="16.85546875" customWidth="1"/>
    <col min="4" max="4" width="14.7109375" customWidth="1"/>
    <col min="5" max="5" width="15.28515625" customWidth="1"/>
    <col min="6" max="6" width="16.42578125" customWidth="1"/>
    <col min="7" max="7" width="13.85546875" customWidth="1"/>
    <col min="8" max="8" width="37.5703125" customWidth="1"/>
    <col min="9" max="9" width="14.85546875" style="16" bestFit="1" customWidth="1"/>
  </cols>
  <sheetData>
    <row r="1" spans="1:8" ht="18" x14ac:dyDescent="0.25">
      <c r="A1" s="223" t="s">
        <v>106</v>
      </c>
      <c r="B1" s="224"/>
      <c r="C1" s="224"/>
      <c r="D1" s="225"/>
      <c r="E1" s="225"/>
      <c r="F1" s="225"/>
    </row>
    <row r="2" spans="1:8" ht="15.75" x14ac:dyDescent="0.25">
      <c r="A2" s="50" t="s">
        <v>0</v>
      </c>
      <c r="B2" s="2"/>
      <c r="C2" s="2"/>
      <c r="D2" s="3"/>
      <c r="E2" s="2"/>
      <c r="F2" s="32"/>
    </row>
    <row r="3" spans="1:8" ht="15" x14ac:dyDescent="0.25">
      <c r="A3" s="2" t="s">
        <v>57</v>
      </c>
      <c r="B3" s="51" t="s">
        <v>65</v>
      </c>
      <c r="C3" s="52" t="s">
        <v>66</v>
      </c>
      <c r="D3" s="52" t="s">
        <v>67</v>
      </c>
      <c r="E3" s="53" t="s">
        <v>91</v>
      </c>
      <c r="F3" s="51" t="s">
        <v>28</v>
      </c>
      <c r="H3" s="112"/>
    </row>
    <row r="4" spans="1:8" ht="15" x14ac:dyDescent="0.25">
      <c r="A4" s="51" t="s">
        <v>36</v>
      </c>
      <c r="B4" s="51"/>
      <c r="C4" s="51"/>
      <c r="D4" s="52"/>
      <c r="E4" s="52"/>
      <c r="F4" s="51"/>
      <c r="H4" s="112"/>
    </row>
    <row r="5" spans="1:8" x14ac:dyDescent="0.2">
      <c r="A5" s="6" t="s">
        <v>6</v>
      </c>
      <c r="B5" s="54"/>
      <c r="C5" s="3"/>
      <c r="D5" s="3"/>
      <c r="E5" s="7"/>
      <c r="F5" s="7"/>
      <c r="H5" s="27"/>
    </row>
    <row r="6" spans="1:8" x14ac:dyDescent="0.2">
      <c r="A6" s="29" t="s">
        <v>11</v>
      </c>
      <c r="B6" s="39">
        <f>'Revised 2012 EE Budget'!I7</f>
        <v>25178518.810000002</v>
      </c>
      <c r="C6" s="46"/>
      <c r="D6" s="46"/>
      <c r="E6" s="46"/>
      <c r="F6" s="66">
        <f>SUM(B6:E6)</f>
        <v>25178518.810000002</v>
      </c>
      <c r="G6" s="16"/>
      <c r="H6" s="27"/>
    </row>
    <row r="7" spans="1:8" x14ac:dyDescent="0.2">
      <c r="A7" s="29" t="s">
        <v>12</v>
      </c>
      <c r="B7" s="39">
        <f>'Revised 2012 EE Budget'!I8</f>
        <v>21320061.5</v>
      </c>
      <c r="C7" s="67"/>
      <c r="D7" s="67"/>
      <c r="E7" s="67"/>
      <c r="F7" s="66">
        <f>SUM(B7:E7)</f>
        <v>21320061.5</v>
      </c>
      <c r="G7" s="16"/>
      <c r="H7" s="27"/>
    </row>
    <row r="8" spans="1:8" x14ac:dyDescent="0.2">
      <c r="A8" s="29" t="s">
        <v>37</v>
      </c>
      <c r="B8" s="39">
        <f>'Revised 2012 EE Budget'!I9</f>
        <v>19475407.84</v>
      </c>
      <c r="C8" s="67"/>
      <c r="D8" s="67"/>
      <c r="E8" s="67"/>
      <c r="F8" s="66">
        <f>SUM(B8:E8)</f>
        <v>19475407.84</v>
      </c>
      <c r="G8" s="16"/>
      <c r="H8" s="27"/>
    </row>
    <row r="9" spans="1:8" x14ac:dyDescent="0.2">
      <c r="A9" s="29" t="s">
        <v>13</v>
      </c>
      <c r="B9" s="39">
        <f>'Revised 2012 EE Budget'!I10</f>
        <v>42516412.489999995</v>
      </c>
      <c r="C9" s="67"/>
      <c r="D9" s="67"/>
      <c r="E9" s="67"/>
      <c r="F9" s="66">
        <f>SUM(B9:E9)</f>
        <v>42516412.489999995</v>
      </c>
      <c r="G9" s="16"/>
      <c r="H9" s="27"/>
    </row>
    <row r="10" spans="1:8" x14ac:dyDescent="0.2">
      <c r="A10" s="29" t="s">
        <v>81</v>
      </c>
      <c r="B10" s="39">
        <f>'Revised 2012 EE Budget'!I11</f>
        <v>1809984</v>
      </c>
      <c r="C10" s="39"/>
      <c r="D10" s="39"/>
      <c r="E10" s="39"/>
      <c r="F10" s="66">
        <f>SUM(B10:E10)</f>
        <v>1809984</v>
      </c>
      <c r="G10" s="97"/>
      <c r="H10" s="27"/>
    </row>
    <row r="11" spans="1:8" x14ac:dyDescent="0.2">
      <c r="A11" s="63" t="s">
        <v>16</v>
      </c>
      <c r="B11" s="46">
        <f>SUM(B6:B10)</f>
        <v>110300384.64</v>
      </c>
      <c r="C11" s="46">
        <f>SUM(C6:C10)</f>
        <v>0</v>
      </c>
      <c r="D11" s="46">
        <f>SUM(D6:D10)</f>
        <v>0</v>
      </c>
      <c r="E11" s="46">
        <f>SUM(E6:E10)</f>
        <v>0</v>
      </c>
      <c r="F11" s="46">
        <f>SUM(F6:F10)</f>
        <v>110300384.64</v>
      </c>
      <c r="G11" s="18"/>
      <c r="H11" s="124"/>
    </row>
    <row r="12" spans="1:8" x14ac:dyDescent="0.2">
      <c r="A12" s="6" t="s">
        <v>14</v>
      </c>
      <c r="B12" s="39"/>
      <c r="C12" s="39"/>
      <c r="D12" s="39"/>
      <c r="E12" s="39"/>
      <c r="F12" s="39"/>
      <c r="G12" s="18"/>
      <c r="H12" s="27"/>
    </row>
    <row r="13" spans="1:8" x14ac:dyDescent="0.2">
      <c r="A13" s="29" t="s">
        <v>74</v>
      </c>
      <c r="B13" s="39"/>
      <c r="C13" s="39"/>
      <c r="D13" s="39">
        <f>'Revised 2012 EE Budget'!I15</f>
        <v>50000000</v>
      </c>
      <c r="E13" s="39"/>
      <c r="F13" s="66">
        <f>SUM(B13:E13)</f>
        <v>50000000</v>
      </c>
      <c r="G13" s="18"/>
      <c r="H13" s="125"/>
    </row>
    <row r="14" spans="1:8" x14ac:dyDescent="0.2">
      <c r="A14" s="63" t="s">
        <v>59</v>
      </c>
      <c r="B14" s="46">
        <f>SUM(B13)</f>
        <v>0</v>
      </c>
      <c r="C14" s="46">
        <f>SUM(C13)</f>
        <v>0</v>
      </c>
      <c r="D14" s="46">
        <f>SUM(D13)</f>
        <v>50000000</v>
      </c>
      <c r="E14" s="46">
        <f>SUM(E13)</f>
        <v>0</v>
      </c>
      <c r="F14" s="46">
        <f>SUM(F13)</f>
        <v>50000000</v>
      </c>
      <c r="G14" s="18"/>
      <c r="H14" s="124"/>
    </row>
    <row r="15" spans="1:8" x14ac:dyDescent="0.2">
      <c r="A15" s="6" t="s">
        <v>17</v>
      </c>
      <c r="B15" s="39"/>
      <c r="C15" s="39"/>
      <c r="D15" s="39"/>
      <c r="E15" s="39"/>
      <c r="F15" s="39"/>
      <c r="G15" s="18"/>
      <c r="H15" s="27"/>
    </row>
    <row r="16" spans="1:8" x14ac:dyDescent="0.2">
      <c r="A16" s="29" t="s">
        <v>75</v>
      </c>
      <c r="B16" s="39"/>
      <c r="C16" s="39">
        <f>'Revised 2012 EE Budget'!I19</f>
        <v>6524122.0199999996</v>
      </c>
      <c r="D16" s="39"/>
      <c r="E16" s="39"/>
      <c r="F16" s="66">
        <f t="shared" ref="F16:F27" si="0">SUM(B16:E16)</f>
        <v>6524122.0199999996</v>
      </c>
      <c r="G16" s="97"/>
      <c r="H16" s="27"/>
    </row>
    <row r="17" spans="1:8" x14ac:dyDescent="0.2">
      <c r="A17" s="29" t="s">
        <v>76</v>
      </c>
      <c r="B17" s="39"/>
      <c r="C17" s="39">
        <f>'Revised 2012 EE Budget'!I20</f>
        <v>61874018.969999991</v>
      </c>
      <c r="D17" s="39"/>
      <c r="E17" s="39"/>
      <c r="F17" s="66">
        <f t="shared" si="0"/>
        <v>61874018.969999991</v>
      </c>
      <c r="G17" s="97"/>
      <c r="H17" s="27"/>
    </row>
    <row r="18" spans="1:8" x14ac:dyDescent="0.2">
      <c r="A18" s="29" t="s">
        <v>77</v>
      </c>
      <c r="B18" s="39"/>
      <c r="C18" s="39">
        <f>'Revised 2012 EE Budget'!I21</f>
        <v>2610817.5799999982</v>
      </c>
      <c r="D18" s="39"/>
      <c r="E18" s="39"/>
      <c r="F18" s="66">
        <f t="shared" si="0"/>
        <v>2610817.5799999982</v>
      </c>
      <c r="G18" s="97"/>
      <c r="H18" s="27"/>
    </row>
    <row r="19" spans="1:8" x14ac:dyDescent="0.2">
      <c r="A19" s="29" t="s">
        <v>58</v>
      </c>
      <c r="B19" s="39"/>
      <c r="C19" s="39">
        <f>'Revised 2012 EE Budget'!I22</f>
        <v>50055958</v>
      </c>
      <c r="D19" s="39"/>
      <c r="E19" s="39"/>
      <c r="F19" s="66">
        <f t="shared" si="0"/>
        <v>50055958</v>
      </c>
      <c r="G19" s="97"/>
      <c r="H19" s="27"/>
    </row>
    <row r="20" spans="1:8" x14ac:dyDescent="0.2">
      <c r="A20" s="29" t="s">
        <v>18</v>
      </c>
      <c r="B20" s="39"/>
      <c r="C20" s="39">
        <f>'Revised 2012 EE Budget'!I23</f>
        <v>17000000</v>
      </c>
      <c r="D20" s="39"/>
      <c r="E20" s="39"/>
      <c r="F20" s="66">
        <f t="shared" si="0"/>
        <v>17000000</v>
      </c>
      <c r="G20" s="97"/>
      <c r="H20" s="27"/>
    </row>
    <row r="21" spans="1:8" x14ac:dyDescent="0.2">
      <c r="A21" s="29" t="s">
        <v>78</v>
      </c>
      <c r="B21" s="39"/>
      <c r="C21" s="39">
        <f>'Revised 2012 EE Budget'!I24</f>
        <v>4999999.9999999972</v>
      </c>
      <c r="D21" s="39"/>
      <c r="E21" s="39"/>
      <c r="F21" s="66">
        <f t="shared" si="0"/>
        <v>4999999.9999999972</v>
      </c>
      <c r="G21" s="97"/>
      <c r="H21" s="27"/>
    </row>
    <row r="22" spans="1:8" x14ac:dyDescent="0.2">
      <c r="A22" s="29" t="s">
        <v>38</v>
      </c>
      <c r="B22" s="39"/>
      <c r="C22" s="39">
        <f>'Revised 2012 EE Budget'!I25</f>
        <v>60632162.200000003</v>
      </c>
      <c r="D22" s="39"/>
      <c r="E22" s="39"/>
      <c r="F22" s="66">
        <f t="shared" si="0"/>
        <v>60632162.200000003</v>
      </c>
      <c r="G22" s="97"/>
      <c r="H22" s="27"/>
    </row>
    <row r="23" spans="1:8" x14ac:dyDescent="0.2">
      <c r="A23" s="29" t="s">
        <v>60</v>
      </c>
      <c r="B23" s="39"/>
      <c r="C23" s="39">
        <f>'Revised 2012 EE Budget'!I26</f>
        <v>0</v>
      </c>
      <c r="D23" s="39"/>
      <c r="E23" s="39"/>
      <c r="F23" s="66">
        <f t="shared" si="0"/>
        <v>0</v>
      </c>
      <c r="G23" s="97"/>
      <c r="H23" s="27"/>
    </row>
    <row r="24" spans="1:8" x14ac:dyDescent="0.2">
      <c r="A24" s="29" t="s">
        <v>61</v>
      </c>
      <c r="B24" s="39"/>
      <c r="C24" s="39">
        <f>'Revised 2012 EE Budget'!I27</f>
        <v>1575000</v>
      </c>
      <c r="D24" s="39"/>
      <c r="E24" s="39"/>
      <c r="F24" s="66">
        <f t="shared" si="0"/>
        <v>1575000</v>
      </c>
      <c r="G24" s="97"/>
      <c r="H24" s="27"/>
    </row>
    <row r="25" spans="1:8" x14ac:dyDescent="0.2">
      <c r="A25" s="96" t="s">
        <v>94</v>
      </c>
      <c r="B25" s="39"/>
      <c r="C25" s="39">
        <f>'Revised 2012 EE Budget'!I28</f>
        <v>20218056.68</v>
      </c>
      <c r="D25" s="39"/>
      <c r="E25" s="39"/>
      <c r="F25" s="66">
        <f t="shared" si="0"/>
        <v>20218056.68</v>
      </c>
      <c r="G25" s="97"/>
      <c r="H25" s="126"/>
    </row>
    <row r="26" spans="1:8" x14ac:dyDescent="0.2">
      <c r="A26" s="123" t="s">
        <v>142</v>
      </c>
      <c r="B26" s="39"/>
      <c r="C26" s="39">
        <f>'Revised 2012 EE Budget'!I29</f>
        <v>0</v>
      </c>
      <c r="D26" s="39"/>
      <c r="E26" s="39"/>
      <c r="F26" s="66">
        <f t="shared" si="0"/>
        <v>0</v>
      </c>
      <c r="G26" s="97"/>
      <c r="H26" s="126"/>
    </row>
    <row r="27" spans="1:8" x14ac:dyDescent="0.2">
      <c r="A27" s="96" t="s">
        <v>152</v>
      </c>
      <c r="B27" s="39"/>
      <c r="C27" s="39">
        <f>'Revised 2012 EE Budget'!I30</f>
        <v>0</v>
      </c>
      <c r="D27" s="39"/>
      <c r="E27" s="39"/>
      <c r="F27" s="66">
        <f t="shared" si="0"/>
        <v>0</v>
      </c>
      <c r="G27" s="97"/>
      <c r="H27" s="126"/>
    </row>
    <row r="28" spans="1:8" x14ac:dyDescent="0.2">
      <c r="A28" s="63" t="s">
        <v>19</v>
      </c>
      <c r="B28" s="46">
        <f>SUM(B16:B27)</f>
        <v>0</v>
      </c>
      <c r="C28" s="46">
        <f>SUM(C16:C27)</f>
        <v>225490135.44999999</v>
      </c>
      <c r="D28" s="46">
        <f>SUM(D16:D27)</f>
        <v>0</v>
      </c>
      <c r="E28" s="46">
        <f>SUM(E16:E27)</f>
        <v>0</v>
      </c>
      <c r="F28" s="46">
        <f>SUM(F16:F27)</f>
        <v>225490135.44999999</v>
      </c>
      <c r="G28" s="18"/>
      <c r="H28" s="124"/>
    </row>
    <row r="29" spans="1:8" x14ac:dyDescent="0.2">
      <c r="A29" s="6" t="s">
        <v>20</v>
      </c>
      <c r="B29" s="39"/>
      <c r="C29" s="39"/>
      <c r="D29" s="39"/>
      <c r="E29" s="39"/>
      <c r="F29" s="39"/>
      <c r="G29" s="18"/>
      <c r="H29" s="27"/>
    </row>
    <row r="30" spans="1:8" x14ac:dyDescent="0.2">
      <c r="A30" s="29" t="s">
        <v>92</v>
      </c>
      <c r="B30" s="39"/>
      <c r="C30" s="39"/>
      <c r="D30" s="39"/>
      <c r="E30" s="39">
        <f>'Revised 2012 EE Budget'!I34</f>
        <v>482957.47</v>
      </c>
      <c r="F30" s="61">
        <f>SUM(B30:E30)</f>
        <v>482957.47</v>
      </c>
      <c r="G30" s="18"/>
      <c r="H30" s="126"/>
    </row>
    <row r="31" spans="1:8" x14ac:dyDescent="0.2">
      <c r="A31" s="101" t="s">
        <v>82</v>
      </c>
      <c r="B31" s="39"/>
      <c r="C31" s="39"/>
      <c r="D31" s="39"/>
      <c r="E31" s="39">
        <f>'Revised 2012 EE Budget'!I35</f>
        <v>0</v>
      </c>
      <c r="F31" s="61">
        <f>SUM(B31:E31)</f>
        <v>0</v>
      </c>
      <c r="G31" s="18"/>
      <c r="H31" s="126"/>
    </row>
    <row r="32" spans="1:8" x14ac:dyDescent="0.2">
      <c r="A32" s="96" t="s">
        <v>90</v>
      </c>
      <c r="B32" s="39"/>
      <c r="C32" s="39"/>
      <c r="D32" s="39"/>
      <c r="E32" s="39">
        <f>'Revised 2012 EE Budget'!I36</f>
        <v>1439850.8900000001</v>
      </c>
      <c r="F32" s="61">
        <f>SUM(B32:E32)</f>
        <v>1439850.8900000001</v>
      </c>
      <c r="G32" s="18"/>
      <c r="H32" s="126"/>
    </row>
    <row r="33" spans="1:8" x14ac:dyDescent="0.2">
      <c r="A33" s="101" t="s">
        <v>151</v>
      </c>
      <c r="B33" s="39"/>
      <c r="C33" s="39"/>
      <c r="D33" s="39"/>
      <c r="E33" s="39">
        <f>'Revised 2012 EE Budget'!I37</f>
        <v>0</v>
      </c>
      <c r="F33" s="61">
        <f>SUM(B33:E33)</f>
        <v>0</v>
      </c>
      <c r="G33" s="18"/>
      <c r="H33" s="126"/>
    </row>
    <row r="34" spans="1:8" x14ac:dyDescent="0.2">
      <c r="A34" s="87" t="s">
        <v>21</v>
      </c>
      <c r="B34" s="46">
        <f>SUM(B30:B33)</f>
        <v>0</v>
      </c>
      <c r="C34" s="46">
        <f>SUM(C30:C33)</f>
        <v>0</v>
      </c>
      <c r="D34" s="46">
        <f>SUM(D30:D33)</f>
        <v>0</v>
      </c>
      <c r="E34" s="46">
        <f>SUM(E30:E33)</f>
        <v>1922808.36</v>
      </c>
      <c r="F34" s="46">
        <f>SUM(F30:F33)</f>
        <v>1922808.36</v>
      </c>
      <c r="G34" s="18"/>
      <c r="H34" s="127"/>
    </row>
    <row r="35" spans="1:8" ht="15" x14ac:dyDescent="0.25">
      <c r="A35" s="9" t="s">
        <v>22</v>
      </c>
      <c r="B35" s="46">
        <f>B11+B14+B28+B34</f>
        <v>110300384.64</v>
      </c>
      <c r="C35" s="46">
        <f>C11+C14+C28+C34</f>
        <v>225490135.44999999</v>
      </c>
      <c r="D35" s="46">
        <f>D11+D14+D28+D34</f>
        <v>50000000</v>
      </c>
      <c r="E35" s="46">
        <f>E11+E14+E28+E34</f>
        <v>1922808.36</v>
      </c>
      <c r="F35" s="46">
        <f>F11+F14+F28+F34</f>
        <v>387713328.44999999</v>
      </c>
      <c r="G35" s="18"/>
      <c r="H35" s="128"/>
    </row>
    <row r="36" spans="1:8" x14ac:dyDescent="0.2">
      <c r="A36" s="18"/>
      <c r="B36" s="18"/>
      <c r="C36" s="18"/>
      <c r="D36" s="18"/>
      <c r="E36" s="18"/>
      <c r="F36" s="92"/>
      <c r="G36" s="18"/>
      <c r="H36" s="112"/>
    </row>
    <row r="37" spans="1:8" x14ac:dyDescent="0.2">
      <c r="A37" s="18"/>
      <c r="B37" s="18"/>
      <c r="C37" s="18"/>
      <c r="D37" s="18"/>
      <c r="E37" s="18"/>
      <c r="F37" s="18"/>
      <c r="G37" s="18"/>
      <c r="H37" s="112"/>
    </row>
    <row r="38" spans="1:8" x14ac:dyDescent="0.2">
      <c r="H38" s="112"/>
    </row>
    <row r="39" spans="1:8" x14ac:dyDescent="0.2">
      <c r="F39" t="s">
        <v>57</v>
      </c>
      <c r="H39" s="112"/>
    </row>
    <row r="40" spans="1:8" x14ac:dyDescent="0.2">
      <c r="H40" s="112"/>
    </row>
    <row r="41" spans="1:8" x14ac:dyDescent="0.2">
      <c r="H41" s="112"/>
    </row>
  </sheetData>
  <mergeCells count="1">
    <mergeCell ref="A1:F1"/>
  </mergeCells>
  <phoneticPr fontId="14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workbookViewId="0">
      <selection activeCell="H11" sqref="H11"/>
    </sheetView>
  </sheetViews>
  <sheetFormatPr defaultRowHeight="12.75" x14ac:dyDescent="0.2"/>
  <cols>
    <col min="1" max="1" width="32.28515625" customWidth="1"/>
    <col min="2" max="2" width="16.140625" customWidth="1"/>
    <col min="3" max="3" width="15.85546875" customWidth="1"/>
    <col min="4" max="6" width="17.5703125" customWidth="1"/>
    <col min="7" max="7" width="16.85546875" customWidth="1"/>
    <col min="8" max="8" width="16.140625" customWidth="1"/>
    <col min="9" max="9" width="15.85546875" customWidth="1"/>
  </cols>
  <sheetData>
    <row r="1" spans="1:10" ht="18" customHeight="1" thickBot="1" x14ac:dyDescent="0.3">
      <c r="A1" s="232" t="s">
        <v>107</v>
      </c>
      <c r="B1" s="232"/>
      <c r="C1" s="232"/>
      <c r="D1" s="232"/>
      <c r="E1" s="232"/>
      <c r="F1" s="232"/>
      <c r="G1" s="232"/>
      <c r="H1" s="232"/>
      <c r="I1" s="232"/>
    </row>
    <row r="2" spans="1:10" ht="12.75" customHeight="1" x14ac:dyDescent="0.2">
      <c r="A2" s="236"/>
      <c r="B2" s="239" t="s">
        <v>105</v>
      </c>
      <c r="C2" s="239" t="s">
        <v>49</v>
      </c>
      <c r="D2" s="239" t="s">
        <v>157</v>
      </c>
      <c r="E2" s="239" t="s">
        <v>158</v>
      </c>
      <c r="F2" s="239" t="s">
        <v>101</v>
      </c>
      <c r="G2" s="233" t="s">
        <v>174</v>
      </c>
      <c r="H2" s="226" t="s">
        <v>175</v>
      </c>
      <c r="I2" s="229" t="s">
        <v>176</v>
      </c>
    </row>
    <row r="3" spans="1:10" x14ac:dyDescent="0.2">
      <c r="A3" s="237"/>
      <c r="B3" s="240"/>
      <c r="C3" s="240"/>
      <c r="D3" s="240"/>
      <c r="E3" s="240"/>
      <c r="F3" s="240"/>
      <c r="G3" s="234"/>
      <c r="H3" s="227"/>
      <c r="I3" s="230"/>
    </row>
    <row r="4" spans="1:10" ht="12.75" customHeight="1" thickBot="1" x14ac:dyDescent="0.25">
      <c r="A4" s="238"/>
      <c r="B4" s="241"/>
      <c r="C4" s="241"/>
      <c r="D4" s="241"/>
      <c r="E4" s="241"/>
      <c r="F4" s="241"/>
      <c r="G4" s="235"/>
      <c r="H4" s="228"/>
      <c r="I4" s="231"/>
    </row>
    <row r="5" spans="1:10" ht="15" x14ac:dyDescent="0.2">
      <c r="A5" s="70" t="s">
        <v>36</v>
      </c>
      <c r="B5" s="162" t="s">
        <v>7</v>
      </c>
      <c r="C5" s="81" t="s">
        <v>8</v>
      </c>
      <c r="D5" s="81" t="s">
        <v>47</v>
      </c>
      <c r="E5" s="163" t="s">
        <v>10</v>
      </c>
      <c r="F5" s="164" t="s">
        <v>159</v>
      </c>
      <c r="G5" s="80" t="s">
        <v>156</v>
      </c>
      <c r="H5" s="165" t="s">
        <v>183</v>
      </c>
      <c r="I5" s="166" t="s">
        <v>184</v>
      </c>
    </row>
    <row r="6" spans="1:10" ht="18" customHeight="1" x14ac:dyDescent="0.2">
      <c r="A6" s="29" t="s">
        <v>24</v>
      </c>
      <c r="B6" s="47">
        <f>'[1]Renewable Energy Budgets'!G7</f>
        <v>4149999.9999999925</v>
      </c>
      <c r="C6" s="47">
        <f>'2011 RE - EDA Energy Budgets'!F6</f>
        <v>5333861.9700000063</v>
      </c>
      <c r="D6" s="47">
        <f t="shared" ref="D6:D11" si="0">-C6</f>
        <v>-5333861.9700000063</v>
      </c>
      <c r="E6" s="47"/>
      <c r="F6" s="47">
        <f t="shared" ref="F6:F11" si="1">SUM(B6:E6)</f>
        <v>4149999.9999999925</v>
      </c>
      <c r="G6" s="83">
        <f>'[4]Renewable Energy Programs'!D8</f>
        <v>2588943</v>
      </c>
      <c r="H6" s="37"/>
      <c r="I6" s="37">
        <f t="shared" ref="I6:I11" si="2">F6+H6</f>
        <v>4149999.9999999925</v>
      </c>
      <c r="J6" s="16"/>
    </row>
    <row r="7" spans="1:10" ht="17.25" customHeight="1" x14ac:dyDescent="0.2">
      <c r="A7" s="29" t="s">
        <v>25</v>
      </c>
      <c r="B7" s="47">
        <f>'[1]Renewable Energy Budgets'!G8</f>
        <v>32400.000000000044</v>
      </c>
      <c r="C7" s="47">
        <f>'2011 RE - EDA Energy Budgets'!F7</f>
        <v>4235.9299999999566</v>
      </c>
      <c r="D7" s="47">
        <f t="shared" si="0"/>
        <v>-4235.9299999999566</v>
      </c>
      <c r="E7" s="47"/>
      <c r="F7" s="47">
        <f t="shared" si="1"/>
        <v>32400.000000000044</v>
      </c>
      <c r="G7" s="83">
        <f>'[4]Renewable Energy Programs'!D9</f>
        <v>0</v>
      </c>
      <c r="H7" s="37"/>
      <c r="I7" s="37">
        <f t="shared" si="2"/>
        <v>32400.000000000044</v>
      </c>
      <c r="J7" s="16"/>
    </row>
    <row r="8" spans="1:10" ht="16.5" customHeight="1" x14ac:dyDescent="0.2">
      <c r="A8" s="29" t="s">
        <v>62</v>
      </c>
      <c r="B8" s="47">
        <f>'[1]Renewable Energy Budgets'!G9</f>
        <v>8518408</v>
      </c>
      <c r="C8" s="47">
        <f>'2011 RE - EDA Energy Budgets'!F8</f>
        <v>418634</v>
      </c>
      <c r="D8" s="47">
        <f t="shared" si="0"/>
        <v>-418634</v>
      </c>
      <c r="E8" s="47">
        <v>-3000000</v>
      </c>
      <c r="F8" s="47">
        <f t="shared" si="1"/>
        <v>5518408</v>
      </c>
      <c r="G8" s="83">
        <f>'[4]Renewable Energy Programs'!D10</f>
        <v>7804374</v>
      </c>
      <c r="H8" s="37"/>
      <c r="I8" s="37">
        <f t="shared" si="2"/>
        <v>5518408</v>
      </c>
      <c r="J8" s="16"/>
    </row>
    <row r="9" spans="1:10" ht="25.5" x14ac:dyDescent="0.2">
      <c r="A9" s="29" t="s">
        <v>63</v>
      </c>
      <c r="B9" s="47">
        <f>'[1]Renewable Energy Budgets'!G10</f>
        <v>20425386.400000002</v>
      </c>
      <c r="C9" s="47">
        <f>'2011 RE - EDA Energy Budgets'!F9</f>
        <v>360000</v>
      </c>
      <c r="D9" s="47">
        <f t="shared" si="0"/>
        <v>-360000</v>
      </c>
      <c r="E9" s="47">
        <v>-16400000</v>
      </c>
      <c r="F9" s="47">
        <f t="shared" si="1"/>
        <v>4025386.4000000022</v>
      </c>
      <c r="G9" s="83">
        <f>'[4]Renewable Energy Programs'!D11</f>
        <v>3856320</v>
      </c>
      <c r="H9" s="37"/>
      <c r="I9" s="37">
        <f t="shared" si="2"/>
        <v>4025386.4000000022</v>
      </c>
      <c r="J9" s="16"/>
    </row>
    <row r="10" spans="1:10" ht="18.75" customHeight="1" x14ac:dyDescent="0.2">
      <c r="A10" s="65" t="s">
        <v>73</v>
      </c>
      <c r="B10" s="47">
        <f>'[1]Renewable Energy Budgets'!G11</f>
        <v>24233390.050000001</v>
      </c>
      <c r="C10" s="47">
        <f>'2011 RE - EDA Energy Budgets'!F10</f>
        <v>6042210.6600000039</v>
      </c>
      <c r="D10" s="47">
        <f t="shared" si="0"/>
        <v>-6042210.6600000039</v>
      </c>
      <c r="E10" s="38">
        <v>-6000000</v>
      </c>
      <c r="F10" s="47">
        <f t="shared" si="1"/>
        <v>18233390.050000001</v>
      </c>
      <c r="G10" s="83">
        <f>'[4]Renewable Energy Programs'!D12</f>
        <v>2432471</v>
      </c>
      <c r="H10" s="37">
        <v>5000000</v>
      </c>
      <c r="I10" s="37">
        <f t="shared" si="2"/>
        <v>23233390.050000001</v>
      </c>
      <c r="J10" s="16"/>
    </row>
    <row r="11" spans="1:10" ht="25.5" x14ac:dyDescent="0.2">
      <c r="A11" s="29" t="s">
        <v>83</v>
      </c>
      <c r="B11" s="47">
        <f>'[1]Renewable Energy Budgets'!G12</f>
        <v>1671836.75</v>
      </c>
      <c r="C11" s="47">
        <f>'2011 RE - EDA Energy Budgets'!F11</f>
        <v>159205.64999999991</v>
      </c>
      <c r="D11" s="47">
        <f t="shared" si="0"/>
        <v>-159205.64999999991</v>
      </c>
      <c r="E11" s="38"/>
      <c r="F11" s="47">
        <f t="shared" si="1"/>
        <v>1671836.75</v>
      </c>
      <c r="G11" s="83">
        <f>'[4]Renewable Energy Programs'!D13</f>
        <v>1484497.95</v>
      </c>
      <c r="H11" s="37"/>
      <c r="I11" s="37">
        <f t="shared" si="2"/>
        <v>1671836.75</v>
      </c>
      <c r="J11" s="16"/>
    </row>
    <row r="12" spans="1:10" x14ac:dyDescent="0.2">
      <c r="A12" s="6" t="s">
        <v>26</v>
      </c>
      <c r="B12" s="48">
        <f t="shared" ref="B12:I12" si="3">SUM(B6:B11)</f>
        <v>59031421.199999996</v>
      </c>
      <c r="C12" s="48">
        <f t="shared" si="3"/>
        <v>12318148.21000001</v>
      </c>
      <c r="D12" s="48">
        <f t="shared" si="3"/>
        <v>-12318148.21000001</v>
      </c>
      <c r="E12" s="48">
        <f t="shared" si="3"/>
        <v>-25400000</v>
      </c>
      <c r="F12" s="48">
        <f t="shared" si="3"/>
        <v>33631421.199999996</v>
      </c>
      <c r="G12" s="48">
        <f t="shared" si="3"/>
        <v>18166605.949999999</v>
      </c>
      <c r="H12" s="48">
        <f t="shared" si="3"/>
        <v>5000000</v>
      </c>
      <c r="I12" s="48">
        <f t="shared" si="3"/>
        <v>38631421.199999996</v>
      </c>
      <c r="J12" s="16"/>
    </row>
    <row r="13" spans="1:10" x14ac:dyDescent="0.2">
      <c r="A13" s="157" t="s">
        <v>177</v>
      </c>
      <c r="B13" s="158"/>
      <c r="C13" s="158"/>
      <c r="D13" s="158"/>
      <c r="E13" s="158"/>
      <c r="F13" s="158"/>
      <c r="G13" s="158"/>
      <c r="H13" s="171">
        <f>'Revised 2012 budget'!I28</f>
        <v>5000000</v>
      </c>
      <c r="I13" s="159"/>
      <c r="J13" s="16"/>
    </row>
    <row r="14" spans="1:10" x14ac:dyDescent="0.2">
      <c r="H14" s="16"/>
      <c r="I14" s="16"/>
      <c r="J14" s="16"/>
    </row>
    <row r="19" spans="1:7" ht="16.5" customHeight="1" x14ac:dyDescent="0.2"/>
    <row r="20" spans="1:7" x14ac:dyDescent="0.2">
      <c r="A20" s="27"/>
      <c r="B20" s="10"/>
      <c r="C20" s="10"/>
      <c r="D20" s="10"/>
      <c r="E20" s="10"/>
      <c r="F20" s="24"/>
      <c r="G20" s="18"/>
    </row>
    <row r="21" spans="1:7" x14ac:dyDescent="0.2">
      <c r="A21" s="18"/>
      <c r="B21" s="92"/>
      <c r="C21" s="18"/>
      <c r="D21" s="18"/>
      <c r="E21" s="18"/>
      <c r="F21" s="92"/>
      <c r="G21" s="18"/>
    </row>
    <row r="22" spans="1:7" x14ac:dyDescent="0.2">
      <c r="A22" s="18"/>
      <c r="B22" s="98"/>
      <c r="C22" s="18"/>
      <c r="D22" s="18"/>
      <c r="E22" s="18"/>
      <c r="F22" s="18"/>
      <c r="G22" s="18"/>
    </row>
    <row r="23" spans="1:7" x14ac:dyDescent="0.2">
      <c r="B23" s="17"/>
    </row>
    <row r="24" spans="1:7" x14ac:dyDescent="0.2">
      <c r="B24" s="17"/>
    </row>
  </sheetData>
  <mergeCells count="10">
    <mergeCell ref="H2:H4"/>
    <mergeCell ref="I2:I4"/>
    <mergeCell ref="A1:I1"/>
    <mergeCell ref="G2:G4"/>
    <mergeCell ref="A2:A4"/>
    <mergeCell ref="B2:B4"/>
    <mergeCell ref="C2:C4"/>
    <mergeCell ref="F2:F4"/>
    <mergeCell ref="D2:D4"/>
    <mergeCell ref="E2:E4"/>
  </mergeCells>
  <phoneticPr fontId="14" type="noConversion"/>
  <pageMargins left="0.75" right="0.75" top="1" bottom="1" header="0.5" footer="0.5"/>
  <pageSetup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E12" sqref="E12"/>
    </sheetView>
  </sheetViews>
  <sheetFormatPr defaultRowHeight="12.75" x14ac:dyDescent="0.2"/>
  <cols>
    <col min="1" max="1" width="35.42578125" customWidth="1"/>
    <col min="2" max="2" width="16.7109375" customWidth="1"/>
    <col min="3" max="3" width="14.42578125" customWidth="1"/>
    <col min="4" max="4" width="14.85546875" customWidth="1"/>
    <col min="5" max="5" width="16.28515625" customWidth="1"/>
    <col min="6" max="6" width="13.7109375" customWidth="1"/>
    <col min="7" max="7" width="13.85546875" customWidth="1"/>
    <col min="8" max="8" width="11" customWidth="1"/>
  </cols>
  <sheetData>
    <row r="1" spans="1:7" ht="37.5" customHeight="1" x14ac:dyDescent="0.2">
      <c r="A1" s="242" t="s">
        <v>108</v>
      </c>
      <c r="B1" s="243"/>
      <c r="C1" s="243"/>
      <c r="D1" s="244"/>
      <c r="E1" s="244"/>
      <c r="F1" s="10"/>
      <c r="G1" s="10"/>
    </row>
    <row r="2" spans="1:7" ht="15.75" x14ac:dyDescent="0.25">
      <c r="A2" s="50" t="s">
        <v>23</v>
      </c>
      <c r="B2" s="2"/>
      <c r="C2" s="2"/>
      <c r="D2" s="2"/>
      <c r="E2" s="3"/>
      <c r="F2" s="10"/>
      <c r="G2" s="10"/>
    </row>
    <row r="3" spans="1:7" ht="15" x14ac:dyDescent="0.25">
      <c r="A3" s="2"/>
      <c r="B3" s="51" t="s">
        <v>65</v>
      </c>
      <c r="C3" s="52" t="s">
        <v>68</v>
      </c>
      <c r="D3" s="52" t="s">
        <v>67</v>
      </c>
      <c r="E3" s="52" t="s">
        <v>28</v>
      </c>
      <c r="F3" s="10"/>
      <c r="G3" s="10"/>
    </row>
    <row r="4" spans="1:7" ht="15" x14ac:dyDescent="0.25">
      <c r="A4" s="57" t="s">
        <v>36</v>
      </c>
      <c r="B4" s="51"/>
      <c r="C4" s="52"/>
      <c r="D4" s="52"/>
      <c r="E4" s="52"/>
      <c r="F4" s="10"/>
      <c r="G4" s="10"/>
    </row>
    <row r="5" spans="1:7" x14ac:dyDescent="0.2">
      <c r="A5" s="29" t="s">
        <v>24</v>
      </c>
      <c r="B5" s="60">
        <f>'Revised 2012 RE Budget'!I6</f>
        <v>4149999.9999999925</v>
      </c>
      <c r="C5" s="60"/>
      <c r="D5" s="60"/>
      <c r="E5" s="66">
        <f t="shared" ref="E5:E10" si="0">SUM(B5:D5)</f>
        <v>4149999.9999999925</v>
      </c>
      <c r="F5" s="99"/>
      <c r="G5" s="10"/>
    </row>
    <row r="6" spans="1:7" x14ac:dyDescent="0.2">
      <c r="A6" s="29" t="s">
        <v>25</v>
      </c>
      <c r="B6" s="60"/>
      <c r="C6" s="60"/>
      <c r="D6" s="60">
        <f>'Revised 2012 RE Budget'!I7</f>
        <v>32400.000000000044</v>
      </c>
      <c r="E6" s="66">
        <f t="shared" si="0"/>
        <v>32400.000000000044</v>
      </c>
      <c r="F6" s="99"/>
      <c r="G6" s="10"/>
    </row>
    <row r="7" spans="1:7" x14ac:dyDescent="0.2">
      <c r="A7" s="29" t="s">
        <v>62</v>
      </c>
      <c r="B7" s="60"/>
      <c r="C7" s="60">
        <f>'Revised 2012 RE Budget'!I8</f>
        <v>5518408</v>
      </c>
      <c r="D7" s="60"/>
      <c r="E7" s="66">
        <f t="shared" si="0"/>
        <v>5518408</v>
      </c>
      <c r="F7" s="99"/>
      <c r="G7" s="10"/>
    </row>
    <row r="8" spans="1:7" ht="25.5" x14ac:dyDescent="0.2">
      <c r="A8" s="29" t="s">
        <v>63</v>
      </c>
      <c r="B8" s="60"/>
      <c r="C8" s="60">
        <f>'Revised 2012 RE Budget'!I9</f>
        <v>4025386.4000000022</v>
      </c>
      <c r="D8" s="60"/>
      <c r="E8" s="66">
        <f t="shared" si="0"/>
        <v>4025386.4000000022</v>
      </c>
      <c r="F8" s="99"/>
      <c r="G8" s="10"/>
    </row>
    <row r="9" spans="1:7" x14ac:dyDescent="0.2">
      <c r="A9" s="65" t="s">
        <v>73</v>
      </c>
      <c r="B9" s="60">
        <f>'Revised 2012 RE Budget'!I10</f>
        <v>23233390.050000001</v>
      </c>
      <c r="C9" s="60"/>
      <c r="D9" s="60"/>
      <c r="E9" s="66">
        <f t="shared" si="0"/>
        <v>23233390.050000001</v>
      </c>
      <c r="F9" s="99"/>
      <c r="G9" s="10"/>
    </row>
    <row r="10" spans="1:7" ht="25.5" x14ac:dyDescent="0.2">
      <c r="A10" s="29" t="s">
        <v>83</v>
      </c>
      <c r="B10" s="60"/>
      <c r="C10" s="60">
        <f>'Revised 2012 RE Budget'!I11</f>
        <v>1671836.75</v>
      </c>
      <c r="D10" s="60"/>
      <c r="E10" s="66">
        <f t="shared" si="0"/>
        <v>1671836.75</v>
      </c>
      <c r="F10" s="99"/>
      <c r="G10" s="10"/>
    </row>
    <row r="11" spans="1:7" x14ac:dyDescent="0.2">
      <c r="A11" s="6" t="s">
        <v>26</v>
      </c>
      <c r="B11" s="62">
        <f>SUM(B5:B10)</f>
        <v>27383390.049999993</v>
      </c>
      <c r="C11" s="62">
        <f>SUM(C5:C10)</f>
        <v>11215631.150000002</v>
      </c>
      <c r="D11" s="62">
        <f>SUM(D5:D10)</f>
        <v>32400.000000000044</v>
      </c>
      <c r="E11" s="62">
        <f>SUM(E5:E10)</f>
        <v>38631421.199999996</v>
      </c>
      <c r="F11" s="99"/>
      <c r="G11" s="10"/>
    </row>
    <row r="12" spans="1:7" ht="15" x14ac:dyDescent="0.25">
      <c r="A12" s="245"/>
      <c r="B12" s="246"/>
      <c r="C12" s="246"/>
      <c r="D12" s="58"/>
      <c r="E12" s="49">
        <f>'Revised 2012 RE Budget'!F12</f>
        <v>33631421.199999996</v>
      </c>
      <c r="F12" s="10"/>
      <c r="G12" s="10"/>
    </row>
    <row r="13" spans="1:7" ht="15" x14ac:dyDescent="0.25">
      <c r="A13" s="55"/>
      <c r="B13" s="56"/>
      <c r="C13" s="56"/>
      <c r="D13" s="58"/>
      <c r="E13" s="59"/>
      <c r="F13" s="10"/>
      <c r="G13" s="10"/>
    </row>
    <row r="14" spans="1:7" x14ac:dyDescent="0.2">
      <c r="A14" s="18"/>
      <c r="B14" s="18"/>
      <c r="C14" s="18"/>
      <c r="D14" s="18"/>
      <c r="E14" s="18"/>
      <c r="F14" s="18"/>
      <c r="G14" s="18"/>
    </row>
    <row r="15" spans="1:7" x14ac:dyDescent="0.2">
      <c r="A15" s="18"/>
      <c r="B15" s="18"/>
      <c r="C15" s="18"/>
      <c r="D15" s="18"/>
      <c r="E15" s="18"/>
      <c r="F15" s="18"/>
      <c r="G15" s="18"/>
    </row>
  </sheetData>
  <mergeCells count="2">
    <mergeCell ref="A1:E1"/>
    <mergeCell ref="A12:C12"/>
  </mergeCells>
  <phoneticPr fontId="14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E8" sqref="E8"/>
    </sheetView>
  </sheetViews>
  <sheetFormatPr defaultRowHeight="12.75" x14ac:dyDescent="0.2"/>
  <cols>
    <col min="1" max="1" width="33.28515625" customWidth="1"/>
    <col min="2" max="2" width="17" customWidth="1"/>
    <col min="3" max="3" width="13.7109375" customWidth="1"/>
    <col min="4" max="4" width="14.28515625" customWidth="1"/>
    <col min="5" max="5" width="16.28515625" customWidth="1"/>
    <col min="6" max="6" width="17.42578125" customWidth="1"/>
    <col min="7" max="7" width="16.42578125" customWidth="1"/>
    <col min="8" max="8" width="14.5703125" customWidth="1"/>
    <col min="9" max="9" width="15.7109375" customWidth="1"/>
    <col min="10" max="10" width="7.42578125" customWidth="1"/>
  </cols>
  <sheetData>
    <row r="1" spans="1:9" ht="18.75" customHeight="1" thickBot="1" x14ac:dyDescent="0.3">
      <c r="A1" s="232" t="s">
        <v>109</v>
      </c>
      <c r="B1" s="232"/>
      <c r="C1" s="232"/>
      <c r="D1" s="232"/>
      <c r="E1" s="232"/>
      <c r="F1" s="232"/>
      <c r="G1" s="232"/>
      <c r="H1" s="232"/>
      <c r="I1" s="232"/>
    </row>
    <row r="2" spans="1:9" ht="12.75" customHeight="1" x14ac:dyDescent="0.2">
      <c r="A2" s="236"/>
      <c r="B2" s="239" t="s">
        <v>105</v>
      </c>
      <c r="C2" s="239" t="s">
        <v>49</v>
      </c>
      <c r="D2" s="239" t="s">
        <v>157</v>
      </c>
      <c r="E2" s="239" t="s">
        <v>158</v>
      </c>
      <c r="F2" s="239" t="s">
        <v>101</v>
      </c>
      <c r="G2" s="233" t="s">
        <v>174</v>
      </c>
      <c r="H2" s="226" t="s">
        <v>175</v>
      </c>
      <c r="I2" s="229" t="s">
        <v>176</v>
      </c>
    </row>
    <row r="3" spans="1:9" x14ac:dyDescent="0.2">
      <c r="A3" s="237"/>
      <c r="B3" s="240"/>
      <c r="C3" s="240"/>
      <c r="D3" s="240"/>
      <c r="E3" s="240"/>
      <c r="F3" s="240"/>
      <c r="G3" s="234"/>
      <c r="H3" s="227"/>
      <c r="I3" s="230"/>
    </row>
    <row r="4" spans="1:9" ht="13.5" thickBot="1" x14ac:dyDescent="0.25">
      <c r="A4" s="238"/>
      <c r="B4" s="241"/>
      <c r="C4" s="241"/>
      <c r="D4" s="241"/>
      <c r="E4" s="241"/>
      <c r="F4" s="241"/>
      <c r="G4" s="235"/>
      <c r="H4" s="228"/>
      <c r="I4" s="231"/>
    </row>
    <row r="5" spans="1:9" ht="15" x14ac:dyDescent="0.2">
      <c r="A5" s="70" t="s">
        <v>36</v>
      </c>
      <c r="B5" s="162" t="s">
        <v>7</v>
      </c>
      <c r="C5" s="81" t="s">
        <v>8</v>
      </c>
      <c r="D5" s="81" t="s">
        <v>47</v>
      </c>
      <c r="E5" s="163" t="s">
        <v>10</v>
      </c>
      <c r="F5" s="164" t="s">
        <v>159</v>
      </c>
      <c r="G5" s="80" t="s">
        <v>156</v>
      </c>
      <c r="H5" s="165" t="s">
        <v>183</v>
      </c>
      <c r="I5" s="166" t="s">
        <v>184</v>
      </c>
    </row>
    <row r="6" spans="1:9" x14ac:dyDescent="0.2">
      <c r="A6" s="6" t="s">
        <v>27</v>
      </c>
      <c r="B6" s="47"/>
      <c r="C6" s="47"/>
      <c r="D6" s="47"/>
      <c r="E6" s="47"/>
      <c r="F6" s="47"/>
      <c r="G6" s="2"/>
      <c r="H6" s="69"/>
      <c r="I6" s="69"/>
    </row>
    <row r="7" spans="1:9" x14ac:dyDescent="0.2">
      <c r="A7" s="108" t="s">
        <v>95</v>
      </c>
      <c r="B7" s="47">
        <f>'[1]EDA Programs'!H7</f>
        <v>31067385.289999995</v>
      </c>
      <c r="C7" s="47">
        <f>'2011 RE - EDA Energy Budgets'!F16</f>
        <v>700000.00000000745</v>
      </c>
      <c r="D7" s="39">
        <f>-C7+D17</f>
        <v>-662649.66000000748</v>
      </c>
      <c r="E7" s="39">
        <f>-18740000-4000000</f>
        <v>-22740000</v>
      </c>
      <c r="F7" s="47">
        <f>SUM(B7:E7)</f>
        <v>8364735.6299999952</v>
      </c>
      <c r="G7" s="83">
        <f>'[4]EDA Programs'!D8</f>
        <v>4838483</v>
      </c>
      <c r="H7" s="69"/>
      <c r="I7" s="35">
        <f>F7+H7</f>
        <v>8364735.6299999952</v>
      </c>
    </row>
    <row r="8" spans="1:9" x14ac:dyDescent="0.2">
      <c r="A8" s="102" t="s">
        <v>85</v>
      </c>
      <c r="B8" s="47">
        <f>'[1]EDA Programs'!H8</f>
        <v>3940545.29</v>
      </c>
      <c r="C8" s="47">
        <f>'2011 RE - EDA Energy Budgets'!F17</f>
        <v>0</v>
      </c>
      <c r="D8" s="39"/>
      <c r="E8" s="39">
        <v>-500000</v>
      </c>
      <c r="F8" s="47">
        <f>SUM(B8:E8)</f>
        <v>3440545.29</v>
      </c>
      <c r="G8" s="83">
        <f>'[4]EDA Programs'!D9</f>
        <v>1000000</v>
      </c>
      <c r="H8" s="69"/>
      <c r="I8" s="35">
        <f>F8+H8</f>
        <v>3440545.29</v>
      </c>
    </row>
    <row r="9" spans="1:9" x14ac:dyDescent="0.2">
      <c r="A9" s="29" t="s">
        <v>86</v>
      </c>
      <c r="B9" s="47">
        <f>'[1]EDA Programs'!H9</f>
        <v>17642499.239999998</v>
      </c>
      <c r="C9" s="47">
        <f>'2011 RE - EDA Energy Budgets'!F18</f>
        <v>0</v>
      </c>
      <c r="D9" s="39"/>
      <c r="E9" s="39">
        <f>-B9+240000</f>
        <v>-17402499.239999998</v>
      </c>
      <c r="F9" s="47">
        <f>SUM(B9:E9)</f>
        <v>240000</v>
      </c>
      <c r="G9" s="83">
        <f>'[4]EDA Programs'!D12</f>
        <v>0</v>
      </c>
      <c r="H9" s="69"/>
      <c r="I9" s="35">
        <f>F9+H9</f>
        <v>240000</v>
      </c>
    </row>
    <row r="10" spans="1:9" x14ac:dyDescent="0.2">
      <c r="A10" s="121" t="s">
        <v>150</v>
      </c>
      <c r="B10" s="47">
        <f>'[1]EDA Programs'!H10</f>
        <v>55000000</v>
      </c>
      <c r="C10" s="47">
        <v>0</v>
      </c>
      <c r="D10" s="39"/>
      <c r="E10" s="39">
        <v>-18000000</v>
      </c>
      <c r="F10" s="47">
        <f>SUM(B10:E10)</f>
        <v>37000000</v>
      </c>
      <c r="G10" s="83">
        <f>'[4]EDA Programs'!D13</f>
        <v>0</v>
      </c>
      <c r="H10" s="69"/>
      <c r="I10" s="35">
        <f>F10+H10</f>
        <v>37000000</v>
      </c>
    </row>
    <row r="11" spans="1:9" x14ac:dyDescent="0.2">
      <c r="A11" s="6" t="s">
        <v>84</v>
      </c>
      <c r="B11" s="46">
        <f t="shared" ref="B11:I11" si="0">SUM(B7:B10)</f>
        <v>107650429.81999999</v>
      </c>
      <c r="C11" s="46">
        <f t="shared" si="0"/>
        <v>700000.00000000745</v>
      </c>
      <c r="D11" s="46">
        <f t="shared" si="0"/>
        <v>-662649.66000000748</v>
      </c>
      <c r="E11" s="46">
        <f t="shared" si="0"/>
        <v>-58642499.239999995</v>
      </c>
      <c r="F11" s="46">
        <f t="shared" si="0"/>
        <v>49045280.919999994</v>
      </c>
      <c r="G11" s="46">
        <f t="shared" si="0"/>
        <v>5838483</v>
      </c>
      <c r="H11" s="46">
        <f t="shared" si="0"/>
        <v>0</v>
      </c>
      <c r="I11" s="46">
        <f t="shared" si="0"/>
        <v>49045280.919999994</v>
      </c>
    </row>
    <row r="12" spans="1:9" x14ac:dyDescent="0.2">
      <c r="A12" s="157" t="s">
        <v>177</v>
      </c>
      <c r="B12" s="158"/>
      <c r="C12" s="158"/>
      <c r="D12" s="158"/>
      <c r="E12" s="158"/>
      <c r="F12" s="158"/>
      <c r="G12" s="158"/>
      <c r="H12" s="171">
        <f>'Revised 2012 budget'!I29</f>
        <v>0</v>
      </c>
      <c r="I12" s="159"/>
    </row>
    <row r="13" spans="1:9" x14ac:dyDescent="0.2">
      <c r="A13" s="253" t="s">
        <v>170</v>
      </c>
      <c r="B13" s="253"/>
      <c r="C13" s="253"/>
      <c r="D13" s="49"/>
      <c r="E13" s="49"/>
      <c r="F13" s="49"/>
      <c r="G13" s="49"/>
    </row>
    <row r="15" spans="1:9" x14ac:dyDescent="0.2">
      <c r="A15" s="14" t="s">
        <v>46</v>
      </c>
    </row>
    <row r="16" spans="1:9" ht="25.5" x14ac:dyDescent="0.25">
      <c r="A16" s="78" t="s">
        <v>45</v>
      </c>
      <c r="B16" s="79" t="s">
        <v>110</v>
      </c>
      <c r="C16" s="109" t="s">
        <v>111</v>
      </c>
      <c r="D16" s="76" t="s">
        <v>80</v>
      </c>
      <c r="E16" s="133"/>
      <c r="F16" s="18"/>
      <c r="G16" s="18"/>
    </row>
    <row r="17" spans="1:7" x14ac:dyDescent="0.2">
      <c r="A17" s="100" t="s">
        <v>79</v>
      </c>
      <c r="B17" s="105">
        <f>[3]Summary!$E$21</f>
        <v>51293.440000000002</v>
      </c>
      <c r="C17" s="105">
        <f>G26</f>
        <v>88643.78</v>
      </c>
      <c r="D17" s="105">
        <f>-(B17-C17)</f>
        <v>37350.339999999997</v>
      </c>
      <c r="E17" s="134"/>
      <c r="F17" s="18"/>
      <c r="G17" s="18"/>
    </row>
    <row r="18" spans="1:7" x14ac:dyDescent="0.2">
      <c r="A18" s="18"/>
      <c r="B18" s="18"/>
      <c r="C18" s="18"/>
      <c r="D18" s="18"/>
      <c r="E18" s="18"/>
      <c r="F18" s="18"/>
      <c r="G18" s="18"/>
    </row>
    <row r="19" spans="1:7" ht="16.5" thickBot="1" x14ac:dyDescent="0.3">
      <c r="A19" s="137" t="s">
        <v>112</v>
      </c>
      <c r="B19" s="18"/>
      <c r="C19" s="18"/>
      <c r="D19" s="18"/>
      <c r="E19" s="18"/>
      <c r="F19" s="18"/>
      <c r="G19" s="18"/>
    </row>
    <row r="20" spans="1:7" x14ac:dyDescent="0.2">
      <c r="A20" s="247"/>
      <c r="B20" s="138" t="s">
        <v>161</v>
      </c>
      <c r="C20" s="138" t="s">
        <v>163</v>
      </c>
      <c r="D20" s="249" t="s">
        <v>164</v>
      </c>
      <c r="E20" s="138" t="s">
        <v>165</v>
      </c>
      <c r="F20" s="138" t="s">
        <v>167</v>
      </c>
      <c r="G20" s="251" t="s">
        <v>28</v>
      </c>
    </row>
    <row r="21" spans="1:7" ht="13.5" thickBot="1" x14ac:dyDescent="0.25">
      <c r="A21" s="248"/>
      <c r="B21" s="139" t="s">
        <v>162</v>
      </c>
      <c r="C21" s="139" t="s">
        <v>162</v>
      </c>
      <c r="D21" s="250"/>
      <c r="E21" s="139" t="s">
        <v>166</v>
      </c>
      <c r="F21" s="139" t="s">
        <v>168</v>
      </c>
      <c r="G21" s="252"/>
    </row>
    <row r="22" spans="1:7" ht="15.75" thickBot="1" x14ac:dyDescent="0.25">
      <c r="A22" s="140" t="s">
        <v>45</v>
      </c>
      <c r="B22" s="141"/>
      <c r="C22" s="141"/>
      <c r="D22" s="141"/>
      <c r="E22" s="141"/>
      <c r="F22" s="142"/>
      <c r="G22" s="141"/>
    </row>
    <row r="23" spans="1:7" ht="13.5" thickBot="1" x14ac:dyDescent="0.25">
      <c r="A23" s="143" t="s">
        <v>95</v>
      </c>
      <c r="B23" s="144">
        <v>19083.88</v>
      </c>
      <c r="C23" s="141"/>
      <c r="D23" s="144">
        <v>45970.87</v>
      </c>
      <c r="E23" s="141"/>
      <c r="F23" s="144">
        <v>16666.66</v>
      </c>
      <c r="G23" s="144">
        <v>81721.41</v>
      </c>
    </row>
    <row r="24" spans="1:7" ht="13.5" thickBot="1" x14ac:dyDescent="0.25">
      <c r="A24" s="143" t="s">
        <v>85</v>
      </c>
      <c r="B24" s="144">
        <v>1239.82</v>
      </c>
      <c r="C24" s="141"/>
      <c r="D24" s="141"/>
      <c r="E24" s="141"/>
      <c r="F24" s="141"/>
      <c r="G24" s="144">
        <v>1239.82</v>
      </c>
    </row>
    <row r="25" spans="1:7" ht="13.5" thickBot="1" x14ac:dyDescent="0.25">
      <c r="A25" s="143" t="s">
        <v>86</v>
      </c>
      <c r="B25" s="144">
        <v>5682.55</v>
      </c>
      <c r="C25" s="141"/>
      <c r="D25" s="141"/>
      <c r="E25" s="141"/>
      <c r="F25" s="141"/>
      <c r="G25" s="144">
        <v>5682.55</v>
      </c>
    </row>
    <row r="26" spans="1:7" ht="13.5" thickBot="1" x14ac:dyDescent="0.25">
      <c r="A26" s="145" t="s">
        <v>169</v>
      </c>
      <c r="B26" s="144">
        <v>26006.25</v>
      </c>
      <c r="C26" s="144">
        <v>0</v>
      </c>
      <c r="D26" s="144">
        <v>45970.87</v>
      </c>
      <c r="E26" s="144">
        <v>0</v>
      </c>
      <c r="F26" s="144">
        <v>16666.66</v>
      </c>
      <c r="G26" s="144">
        <v>88643.78</v>
      </c>
    </row>
    <row r="27" spans="1:7" ht="15" x14ac:dyDescent="0.2">
      <c r="A27" s="146"/>
      <c r="B27" s="18"/>
      <c r="C27" s="18"/>
      <c r="D27" s="18"/>
      <c r="E27" s="18"/>
      <c r="F27" s="18"/>
      <c r="G27" s="18"/>
    </row>
    <row r="28" spans="1:7" ht="15" x14ac:dyDescent="0.2">
      <c r="A28" s="146"/>
      <c r="B28" s="18"/>
      <c r="C28" s="18"/>
      <c r="D28" s="18"/>
      <c r="E28" s="18"/>
      <c r="F28" s="18"/>
      <c r="G28" s="18"/>
    </row>
  </sheetData>
  <mergeCells count="14">
    <mergeCell ref="I2:I4"/>
    <mergeCell ref="A1:I1"/>
    <mergeCell ref="A2:A4"/>
    <mergeCell ref="B2:B4"/>
    <mergeCell ref="C2:C4"/>
    <mergeCell ref="D2:D4"/>
    <mergeCell ref="F2:F4"/>
    <mergeCell ref="G2:G4"/>
    <mergeCell ref="E2:E4"/>
    <mergeCell ref="A20:A21"/>
    <mergeCell ref="D20:D21"/>
    <mergeCell ref="G20:G21"/>
    <mergeCell ref="A13:C13"/>
    <mergeCell ref="H2:H4"/>
  </mergeCells>
  <phoneticPr fontId="14" type="noConversion"/>
  <pageMargins left="0.7" right="0.7" top="0.75" bottom="0.75" header="0.3" footer="0.3"/>
  <pageSetup scale="7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workbookViewId="0">
      <selection activeCell="J30" sqref="J30"/>
    </sheetView>
  </sheetViews>
  <sheetFormatPr defaultRowHeight="12.75" x14ac:dyDescent="0.2"/>
  <cols>
    <col min="1" max="1" width="48" customWidth="1"/>
    <col min="2" max="3" width="14.5703125" customWidth="1"/>
    <col min="4" max="4" width="16.7109375" customWidth="1"/>
    <col min="5" max="5" width="15.5703125" customWidth="1"/>
    <col min="6" max="6" width="17" customWidth="1"/>
    <col min="7" max="7" width="14.140625" customWidth="1"/>
    <col min="8" max="8" width="14.7109375" customWidth="1"/>
    <col min="9" max="9" width="16.7109375" customWidth="1"/>
    <col min="11" max="11" width="13.42578125" bestFit="1" customWidth="1"/>
  </cols>
  <sheetData>
    <row r="1" spans="1:16" ht="18" customHeight="1" thickBot="1" x14ac:dyDescent="0.3">
      <c r="A1" s="232" t="s">
        <v>113</v>
      </c>
      <c r="B1" s="232"/>
      <c r="C1" s="232"/>
      <c r="D1" s="232"/>
      <c r="E1" s="232"/>
      <c r="F1" s="232"/>
      <c r="G1" s="232"/>
      <c r="H1" s="232"/>
      <c r="I1" s="232"/>
    </row>
    <row r="2" spans="1:16" ht="12.75" customHeight="1" x14ac:dyDescent="0.2">
      <c r="A2" s="236"/>
      <c r="B2" s="239" t="s">
        <v>105</v>
      </c>
      <c r="C2" s="239" t="s">
        <v>49</v>
      </c>
      <c r="D2" s="239" t="s">
        <v>157</v>
      </c>
      <c r="E2" s="239" t="s">
        <v>158</v>
      </c>
      <c r="F2" s="239" t="s">
        <v>101</v>
      </c>
      <c r="G2" s="233" t="s">
        <v>174</v>
      </c>
      <c r="H2" s="226" t="s">
        <v>175</v>
      </c>
      <c r="I2" s="229" t="s">
        <v>176</v>
      </c>
    </row>
    <row r="3" spans="1:16" x14ac:dyDescent="0.2">
      <c r="A3" s="237"/>
      <c r="B3" s="240"/>
      <c r="C3" s="240"/>
      <c r="D3" s="240"/>
      <c r="E3" s="240"/>
      <c r="F3" s="240"/>
      <c r="G3" s="234"/>
      <c r="H3" s="227"/>
      <c r="I3" s="230"/>
      <c r="J3" s="112"/>
      <c r="K3" s="112"/>
      <c r="L3" s="112"/>
      <c r="M3" s="112"/>
      <c r="N3" s="112"/>
      <c r="O3" s="112"/>
      <c r="P3" s="112"/>
    </row>
    <row r="4" spans="1:16" ht="15.75" customHeight="1" thickBot="1" x14ac:dyDescent="0.25">
      <c r="A4" s="238"/>
      <c r="B4" s="241"/>
      <c r="C4" s="241"/>
      <c r="D4" s="241"/>
      <c r="E4" s="241"/>
      <c r="F4" s="241"/>
      <c r="G4" s="235"/>
      <c r="H4" s="228"/>
      <c r="I4" s="231"/>
      <c r="J4" s="112"/>
      <c r="K4" s="112"/>
      <c r="L4" s="112"/>
      <c r="M4" s="112"/>
      <c r="N4" s="112"/>
      <c r="O4" s="112"/>
      <c r="P4" s="112"/>
    </row>
    <row r="5" spans="1:16" ht="15" x14ac:dyDescent="0.2">
      <c r="A5" s="70"/>
      <c r="B5" s="162" t="s">
        <v>7</v>
      </c>
      <c r="C5" s="81" t="s">
        <v>8</v>
      </c>
      <c r="D5" s="81" t="s">
        <v>47</v>
      </c>
      <c r="E5" s="163" t="s">
        <v>10</v>
      </c>
      <c r="F5" s="164" t="s">
        <v>159</v>
      </c>
      <c r="G5" s="80" t="s">
        <v>156</v>
      </c>
      <c r="H5" s="165" t="s">
        <v>183</v>
      </c>
      <c r="I5" s="166" t="s">
        <v>184</v>
      </c>
      <c r="J5" s="112"/>
      <c r="K5" s="112"/>
      <c r="L5" s="112"/>
      <c r="M5" s="112"/>
      <c r="N5" s="112"/>
      <c r="O5" s="112"/>
      <c r="P5" s="112"/>
    </row>
    <row r="6" spans="1:16" ht="15" x14ac:dyDescent="0.25">
      <c r="A6" s="12" t="s">
        <v>50</v>
      </c>
      <c r="B6" s="2"/>
      <c r="C6" s="2"/>
      <c r="D6" s="2"/>
      <c r="E6" s="2"/>
      <c r="F6" s="2"/>
      <c r="G6" s="69"/>
      <c r="H6" s="69"/>
      <c r="I6" s="135"/>
      <c r="J6" s="112"/>
      <c r="K6" s="112"/>
      <c r="L6" s="112"/>
      <c r="M6" s="112"/>
      <c r="N6" s="112"/>
      <c r="O6" s="112"/>
      <c r="P6" s="112"/>
    </row>
    <row r="7" spans="1:16" x14ac:dyDescent="0.2">
      <c r="A7" s="95" t="s">
        <v>145</v>
      </c>
      <c r="B7" s="42">
        <f>'[1]OCE Oversight'!H7</f>
        <v>2988016.4299999992</v>
      </c>
      <c r="C7" s="42">
        <f>'2011 OCE Oversight'!F7</f>
        <v>83759.660000000615</v>
      </c>
      <c r="D7" s="42">
        <f>-C7</f>
        <v>-83759.660000000615</v>
      </c>
      <c r="E7" s="42">
        <v>908627</v>
      </c>
      <c r="F7" s="42">
        <f>B7+C7+D7+E7</f>
        <v>3896643.4299999992</v>
      </c>
      <c r="G7" s="37"/>
      <c r="H7" s="35">
        <v>5479818.21</v>
      </c>
      <c r="I7" s="173">
        <f>F7+H7</f>
        <v>9376461.6399999987</v>
      </c>
      <c r="J7" s="112"/>
      <c r="K7" s="112"/>
      <c r="L7" s="112"/>
      <c r="M7" s="112"/>
      <c r="N7" s="112"/>
      <c r="O7" s="112"/>
      <c r="P7" s="112"/>
    </row>
    <row r="8" spans="1:16" x14ac:dyDescent="0.2">
      <c r="A8" s="95" t="s">
        <v>146</v>
      </c>
      <c r="B8" s="42">
        <f>'[1]OCE Oversight'!H8</f>
        <v>2163537.25</v>
      </c>
      <c r="C8" s="42">
        <f>'2011 OCE Oversight'!F8</f>
        <v>132407.5</v>
      </c>
      <c r="D8" s="42">
        <f>-C8</f>
        <v>-132407.5</v>
      </c>
      <c r="E8" s="42">
        <v>-100000</v>
      </c>
      <c r="F8" s="42">
        <f>B8+C8+D8+E8</f>
        <v>2063537.25</v>
      </c>
      <c r="G8" s="37"/>
      <c r="H8" s="35">
        <f>F8/12</f>
        <v>171961.4375</v>
      </c>
      <c r="I8" s="173">
        <f>F8+H8</f>
        <v>2235498.6875</v>
      </c>
      <c r="J8" s="112"/>
      <c r="K8" s="195"/>
      <c r="L8" s="112"/>
      <c r="M8" s="112"/>
      <c r="N8" s="112"/>
      <c r="O8" s="112"/>
      <c r="P8" s="112"/>
    </row>
    <row r="9" spans="1:16" x14ac:dyDescent="0.2">
      <c r="A9" s="110" t="s">
        <v>144</v>
      </c>
      <c r="B9" s="103">
        <f t="shared" ref="B9:I9" si="0">SUM(B7:B8)</f>
        <v>5151553.68</v>
      </c>
      <c r="C9" s="103">
        <f t="shared" si="0"/>
        <v>216167.16000000061</v>
      </c>
      <c r="D9" s="103">
        <f t="shared" si="0"/>
        <v>-216167.16000000061</v>
      </c>
      <c r="E9" s="103">
        <f t="shared" si="0"/>
        <v>808627</v>
      </c>
      <c r="F9" s="103">
        <f t="shared" si="0"/>
        <v>5960180.6799999997</v>
      </c>
      <c r="G9" s="103">
        <f t="shared" si="0"/>
        <v>0</v>
      </c>
      <c r="H9" s="103">
        <f t="shared" si="0"/>
        <v>5651779.6475</v>
      </c>
      <c r="I9" s="103">
        <f t="shared" si="0"/>
        <v>11611960.327499999</v>
      </c>
      <c r="J9" s="112"/>
      <c r="K9" s="112"/>
      <c r="L9" s="112"/>
      <c r="M9" s="112"/>
      <c r="N9" s="112"/>
      <c r="O9" s="112"/>
      <c r="P9" s="112"/>
    </row>
    <row r="10" spans="1:16" x14ac:dyDescent="0.2">
      <c r="A10" s="28" t="s">
        <v>39</v>
      </c>
      <c r="B10" s="42"/>
      <c r="C10" s="42"/>
      <c r="D10" s="39"/>
      <c r="E10" s="39"/>
      <c r="F10" s="42"/>
      <c r="G10" s="37"/>
      <c r="H10" s="69"/>
      <c r="I10" s="135"/>
      <c r="J10" s="112"/>
      <c r="K10" s="112"/>
      <c r="L10" s="112"/>
      <c r="M10" s="112"/>
      <c r="N10" s="112"/>
      <c r="O10" s="112"/>
      <c r="P10" s="112"/>
    </row>
    <row r="11" spans="1:16" x14ac:dyDescent="0.2">
      <c r="A11" s="30" t="s">
        <v>40</v>
      </c>
      <c r="B11" s="42">
        <f>'[1]OCE Oversight'!H10</f>
        <v>25000</v>
      </c>
      <c r="C11" s="42">
        <f>'2011 OCE Oversight'!F11</f>
        <v>0</v>
      </c>
      <c r="D11" s="42">
        <f>-C11</f>
        <v>0</v>
      </c>
      <c r="E11" s="42">
        <v>-25000</v>
      </c>
      <c r="F11" s="42">
        <f>B11+C11+D11+E11</f>
        <v>0</v>
      </c>
      <c r="G11" s="36"/>
      <c r="H11" s="2"/>
      <c r="I11" s="173">
        <f>F11+H11</f>
        <v>0</v>
      </c>
      <c r="J11" s="112"/>
      <c r="K11" s="112"/>
      <c r="L11" s="112"/>
      <c r="M11" s="112"/>
      <c r="N11" s="112"/>
      <c r="O11" s="112"/>
      <c r="P11" s="112"/>
    </row>
    <row r="12" spans="1:16" x14ac:dyDescent="0.2">
      <c r="A12" s="30" t="s">
        <v>51</v>
      </c>
      <c r="B12" s="42">
        <f>'[1]OCE Oversight'!H11</f>
        <v>0</v>
      </c>
      <c r="C12" s="42">
        <f>'2011 OCE Oversight'!F12</f>
        <v>2621</v>
      </c>
      <c r="D12" s="42">
        <f>-C12</f>
        <v>-2621</v>
      </c>
      <c r="E12" s="39"/>
      <c r="F12" s="42">
        <f>B12+C12+D12+E12</f>
        <v>0</v>
      </c>
      <c r="G12" s="36"/>
      <c r="H12" s="2"/>
      <c r="I12" s="173">
        <f>F12+H12</f>
        <v>0</v>
      </c>
      <c r="J12" s="112"/>
      <c r="K12" s="112"/>
      <c r="L12" s="112"/>
      <c r="M12" s="112"/>
      <c r="N12" s="112"/>
      <c r="O12" s="112"/>
      <c r="P12" s="112"/>
    </row>
    <row r="13" spans="1:16" x14ac:dyDescent="0.2">
      <c r="A13" s="30" t="s">
        <v>148</v>
      </c>
      <c r="B13" s="42">
        <f>'[1]OCE Oversight'!H12</f>
        <v>100000</v>
      </c>
      <c r="C13" s="42">
        <v>0</v>
      </c>
      <c r="D13" s="39"/>
      <c r="E13" s="39"/>
      <c r="F13" s="42">
        <f>B13+C13+D13+E13</f>
        <v>100000</v>
      </c>
      <c r="G13" s="36"/>
      <c r="H13" s="36">
        <v>100000</v>
      </c>
      <c r="I13" s="173">
        <f>F13+H13</f>
        <v>200000</v>
      </c>
      <c r="J13" s="112"/>
      <c r="K13" s="112"/>
      <c r="L13" s="112"/>
      <c r="M13" s="112"/>
      <c r="N13" s="112"/>
      <c r="O13" s="112"/>
      <c r="P13" s="112"/>
    </row>
    <row r="14" spans="1:16" x14ac:dyDescent="0.2">
      <c r="A14" s="6" t="s">
        <v>147</v>
      </c>
      <c r="B14" s="46">
        <f t="shared" ref="B14:I14" si="1">SUM(B11:B13)</f>
        <v>125000</v>
      </c>
      <c r="C14" s="46">
        <f t="shared" si="1"/>
        <v>2621</v>
      </c>
      <c r="D14" s="46">
        <f t="shared" si="1"/>
        <v>-2621</v>
      </c>
      <c r="E14" s="46">
        <f t="shared" si="1"/>
        <v>-25000</v>
      </c>
      <c r="F14" s="46">
        <f t="shared" si="1"/>
        <v>100000</v>
      </c>
      <c r="G14" s="46">
        <f t="shared" si="1"/>
        <v>0</v>
      </c>
      <c r="H14" s="46">
        <f t="shared" si="1"/>
        <v>100000</v>
      </c>
      <c r="I14" s="46">
        <f t="shared" si="1"/>
        <v>200000</v>
      </c>
      <c r="J14" s="112"/>
      <c r="K14" s="112"/>
      <c r="L14" s="112"/>
      <c r="M14" s="112"/>
      <c r="N14" s="112"/>
      <c r="O14" s="112"/>
      <c r="P14" s="112"/>
    </row>
    <row r="15" spans="1:16" x14ac:dyDescent="0.2">
      <c r="A15" s="6" t="s">
        <v>52</v>
      </c>
      <c r="B15" s="39"/>
      <c r="C15" s="39"/>
      <c r="D15" s="39"/>
      <c r="E15" s="39"/>
      <c r="F15" s="39"/>
      <c r="G15" s="2"/>
      <c r="H15" s="2"/>
      <c r="I15" s="135"/>
      <c r="J15" s="112"/>
      <c r="K15" s="112"/>
      <c r="L15" s="112"/>
      <c r="M15" s="112"/>
      <c r="N15" s="112"/>
      <c r="O15" s="112"/>
      <c r="P15" s="112"/>
    </row>
    <row r="16" spans="1:16" x14ac:dyDescent="0.2">
      <c r="A16" s="30" t="s">
        <v>41</v>
      </c>
      <c r="B16" s="39">
        <f>'[1]OCE Oversight'!H15</f>
        <v>920613.6399999999</v>
      </c>
      <c r="C16" s="42">
        <f>'2011 OCE Oversight'!F15</f>
        <v>400000</v>
      </c>
      <c r="D16" s="42">
        <v>0</v>
      </c>
      <c r="E16" s="39"/>
      <c r="F16" s="42">
        <f t="shared" ref="F16:F21" si="2">B16+C16+D16+E16</f>
        <v>1320613.6399999999</v>
      </c>
      <c r="G16" s="36"/>
      <c r="H16" s="2"/>
      <c r="I16" s="173">
        <f t="shared" ref="I16:I21" si="3">F16+H16</f>
        <v>1320613.6399999999</v>
      </c>
      <c r="J16" s="112"/>
      <c r="K16" s="112"/>
      <c r="L16" s="112"/>
      <c r="M16" s="112"/>
      <c r="N16" s="112"/>
      <c r="O16" s="112"/>
      <c r="P16" s="112"/>
    </row>
    <row r="17" spans="1:16" x14ac:dyDescent="0.2">
      <c r="A17" s="30" t="s">
        <v>42</v>
      </c>
      <c r="B17" s="39">
        <f>'[1]OCE Oversight'!H16</f>
        <v>50000</v>
      </c>
      <c r="C17" s="42">
        <f>'2011 OCE Oversight'!F16</f>
        <v>21055</v>
      </c>
      <c r="D17" s="42">
        <v>0</v>
      </c>
      <c r="E17" s="42"/>
      <c r="F17" s="42">
        <f t="shared" si="2"/>
        <v>71055</v>
      </c>
      <c r="G17" s="36"/>
      <c r="H17" s="2"/>
      <c r="I17" s="173">
        <f t="shared" si="3"/>
        <v>71055</v>
      </c>
      <c r="J17" s="112"/>
      <c r="K17" s="112"/>
      <c r="L17" s="112"/>
      <c r="M17" s="112"/>
      <c r="N17" s="112"/>
      <c r="O17" s="112"/>
      <c r="P17" s="112"/>
    </row>
    <row r="18" spans="1:16" x14ac:dyDescent="0.2">
      <c r="A18" s="30" t="s">
        <v>53</v>
      </c>
      <c r="B18" s="39">
        <f>'[1]OCE Oversight'!H17</f>
        <v>0</v>
      </c>
      <c r="C18" s="42">
        <f>'2011 OCE Oversight'!F17</f>
        <v>58899.879999999983</v>
      </c>
      <c r="D18" s="42">
        <f>-C18</f>
        <v>-58899.879999999983</v>
      </c>
      <c r="E18" s="42"/>
      <c r="F18" s="42">
        <f>B18+C18+D18+E18</f>
        <v>0</v>
      </c>
      <c r="G18" s="36"/>
      <c r="H18" s="2"/>
      <c r="I18" s="173">
        <f t="shared" si="3"/>
        <v>0</v>
      </c>
      <c r="J18" s="112"/>
      <c r="K18" s="112"/>
      <c r="L18" s="112"/>
      <c r="M18" s="112"/>
      <c r="N18" s="112"/>
      <c r="O18" s="112"/>
      <c r="P18" s="112"/>
    </row>
    <row r="19" spans="1:16" x14ac:dyDescent="0.2">
      <c r="A19" s="30" t="s">
        <v>71</v>
      </c>
      <c r="B19" s="39">
        <f>'[1]OCE Oversight'!H18</f>
        <v>44566.749999999978</v>
      </c>
      <c r="C19" s="42">
        <f>'2011 OCE Oversight'!F18</f>
        <v>0</v>
      </c>
      <c r="D19" s="42">
        <f>-C19</f>
        <v>0</v>
      </c>
      <c r="E19" s="42">
        <v>-44566.75</v>
      </c>
      <c r="F19" s="42">
        <f t="shared" si="2"/>
        <v>0</v>
      </c>
      <c r="G19" s="36"/>
      <c r="H19" s="2"/>
      <c r="I19" s="173">
        <f t="shared" si="3"/>
        <v>0</v>
      </c>
      <c r="J19" s="112"/>
      <c r="K19" s="112"/>
      <c r="L19" s="112"/>
      <c r="M19" s="112"/>
      <c r="N19" s="112"/>
      <c r="O19" s="112"/>
      <c r="P19" s="112"/>
    </row>
    <row r="20" spans="1:16" x14ac:dyDescent="0.2">
      <c r="A20" s="30" t="s">
        <v>64</v>
      </c>
      <c r="B20" s="39">
        <f>'[1]OCE Oversight'!H19</f>
        <v>1551779.65</v>
      </c>
      <c r="C20" s="42">
        <f>'2011 OCE Oversight'!F19</f>
        <v>843706.89999999991</v>
      </c>
      <c r="D20" s="42">
        <f>-C20</f>
        <v>-843706.89999999991</v>
      </c>
      <c r="E20" s="42">
        <v>-1000000</v>
      </c>
      <c r="F20" s="42">
        <f>B20+C20+D20+E20</f>
        <v>551779.64999999991</v>
      </c>
      <c r="G20" s="36"/>
      <c r="H20" s="38">
        <f>800000-F20</f>
        <v>248220.35000000009</v>
      </c>
      <c r="I20" s="173">
        <f t="shared" si="3"/>
        <v>800000</v>
      </c>
      <c r="J20" s="112"/>
      <c r="K20" s="112"/>
      <c r="L20" s="112"/>
      <c r="M20" s="112"/>
      <c r="N20" s="112"/>
      <c r="O20" s="112"/>
      <c r="P20" s="112"/>
    </row>
    <row r="21" spans="1:16" x14ac:dyDescent="0.2">
      <c r="A21" s="30" t="s">
        <v>72</v>
      </c>
      <c r="B21" s="39">
        <f>'[1]OCE Oversight'!H20</f>
        <v>498162.35000000009</v>
      </c>
      <c r="C21" s="42">
        <f>'2011 OCE Oversight'!F20</f>
        <v>0</v>
      </c>
      <c r="D21" s="42">
        <f>-C21</f>
        <v>0</v>
      </c>
      <c r="E21" s="42">
        <f>-B21</f>
        <v>-498162.35000000009</v>
      </c>
      <c r="F21" s="42">
        <f t="shared" si="2"/>
        <v>0</v>
      </c>
      <c r="G21" s="36"/>
      <c r="H21" s="2"/>
      <c r="I21" s="173">
        <f t="shared" si="3"/>
        <v>0</v>
      </c>
      <c r="J21" s="112"/>
      <c r="K21" s="112"/>
      <c r="L21" s="112"/>
      <c r="M21" s="112"/>
      <c r="N21" s="112"/>
      <c r="O21" s="112"/>
      <c r="P21" s="112"/>
    </row>
    <row r="22" spans="1:16" x14ac:dyDescent="0.2">
      <c r="A22" s="6" t="s">
        <v>43</v>
      </c>
      <c r="B22" s="46">
        <f t="shared" ref="B22:I22" si="4">SUM(B16:B21)</f>
        <v>3065122.39</v>
      </c>
      <c r="C22" s="46">
        <f t="shared" si="4"/>
        <v>1323661.7799999998</v>
      </c>
      <c r="D22" s="46">
        <f t="shared" si="4"/>
        <v>-902606.77999999991</v>
      </c>
      <c r="E22" s="46">
        <f t="shared" si="4"/>
        <v>-1542729.1</v>
      </c>
      <c r="F22" s="46">
        <f t="shared" si="4"/>
        <v>1943448.2899999998</v>
      </c>
      <c r="G22" s="46">
        <f t="shared" si="4"/>
        <v>0</v>
      </c>
      <c r="H22" s="46">
        <f t="shared" si="4"/>
        <v>248220.35000000009</v>
      </c>
      <c r="I22" s="46">
        <f t="shared" si="4"/>
        <v>2191668.6399999997</v>
      </c>
      <c r="J22" s="112"/>
      <c r="K22" s="112"/>
      <c r="L22" s="112"/>
      <c r="M22" s="112"/>
      <c r="N22" s="112"/>
      <c r="O22" s="112"/>
      <c r="P22" s="112"/>
    </row>
    <row r="23" spans="1:16" x14ac:dyDescent="0.2">
      <c r="A23" s="6" t="s">
        <v>54</v>
      </c>
      <c r="B23" s="39"/>
      <c r="C23" s="39"/>
      <c r="D23" s="42"/>
      <c r="E23" s="42"/>
      <c r="F23" s="42"/>
      <c r="G23" s="2"/>
      <c r="H23" s="2"/>
      <c r="I23" s="69"/>
      <c r="J23" s="112"/>
      <c r="K23" s="112"/>
      <c r="L23" s="112"/>
      <c r="M23" s="112"/>
      <c r="N23" s="112"/>
      <c r="O23" s="112"/>
      <c r="P23" s="112"/>
    </row>
    <row r="24" spans="1:16" x14ac:dyDescent="0.2">
      <c r="A24" s="30" t="s">
        <v>55</v>
      </c>
      <c r="B24" s="39">
        <f>'[1]OCE Oversight'!$H$23</f>
        <v>22772.309999999969</v>
      </c>
      <c r="C24" s="42">
        <f>'2011 OCE Oversight'!F23</f>
        <v>100000.00000000003</v>
      </c>
      <c r="D24" s="42">
        <v>0</v>
      </c>
      <c r="E24" s="39"/>
      <c r="F24" s="42">
        <f>B24+C24+D24+E24</f>
        <v>122772.31</v>
      </c>
      <c r="G24" s="36"/>
      <c r="H24" s="2"/>
      <c r="I24" s="173">
        <f>F24+H24</f>
        <v>122772.31</v>
      </c>
      <c r="J24" s="112"/>
      <c r="K24" s="112"/>
      <c r="L24" s="112"/>
      <c r="M24" s="112"/>
      <c r="N24" s="112"/>
      <c r="O24" s="112"/>
      <c r="P24" s="112"/>
    </row>
    <row r="25" spans="1:16" x14ac:dyDescent="0.2">
      <c r="A25" s="120" t="s">
        <v>149</v>
      </c>
      <c r="B25" s="39">
        <f>'[1]OCE Oversight'!$H$24</f>
        <v>60000</v>
      </c>
      <c r="C25" s="42">
        <v>0</v>
      </c>
      <c r="D25" s="42">
        <f>-C25</f>
        <v>0</v>
      </c>
      <c r="E25" s="39"/>
      <c r="F25" s="42">
        <f>B25+C25+D25+E25</f>
        <v>60000</v>
      </c>
      <c r="G25" s="36"/>
      <c r="H25" s="2"/>
      <c r="I25" s="173">
        <f>F25+H25</f>
        <v>60000</v>
      </c>
      <c r="J25" s="112"/>
      <c r="K25" s="112"/>
      <c r="L25" s="112"/>
      <c r="M25" s="112"/>
      <c r="N25" s="112"/>
      <c r="O25" s="112"/>
      <c r="P25" s="112"/>
    </row>
    <row r="26" spans="1:16" x14ac:dyDescent="0.2">
      <c r="A26" s="6" t="s">
        <v>44</v>
      </c>
      <c r="B26" s="46">
        <f t="shared" ref="B26:G26" si="5">SUM(B24:B25)</f>
        <v>82772.309999999969</v>
      </c>
      <c r="C26" s="46">
        <f t="shared" si="5"/>
        <v>100000.00000000003</v>
      </c>
      <c r="D26" s="46">
        <f t="shared" si="5"/>
        <v>0</v>
      </c>
      <c r="E26" s="46">
        <f t="shared" si="5"/>
        <v>0</v>
      </c>
      <c r="F26" s="46">
        <f t="shared" si="5"/>
        <v>182772.31</v>
      </c>
      <c r="G26" s="46">
        <f t="shared" si="5"/>
        <v>0</v>
      </c>
      <c r="H26" s="46">
        <f>SUM(H24:H25)</f>
        <v>0</v>
      </c>
      <c r="I26" s="46">
        <f>SUM(I24:I25)</f>
        <v>182772.31</v>
      </c>
      <c r="J26" s="112"/>
      <c r="K26" s="112"/>
      <c r="L26" s="112"/>
      <c r="M26" s="112"/>
      <c r="N26" s="112"/>
      <c r="O26" s="112"/>
      <c r="P26" s="112"/>
    </row>
    <row r="27" spans="1:16" x14ac:dyDescent="0.2">
      <c r="A27" s="6" t="s">
        <v>56</v>
      </c>
      <c r="B27" s="46">
        <f t="shared" ref="B27:G27" si="6">B14+B22+B26+B9</f>
        <v>8424448.379999999</v>
      </c>
      <c r="C27" s="46">
        <f t="shared" si="6"/>
        <v>1642449.9400000004</v>
      </c>
      <c r="D27" s="46">
        <f t="shared" si="6"/>
        <v>-1121394.9400000004</v>
      </c>
      <c r="E27" s="46">
        <f t="shared" si="6"/>
        <v>-759102.10000000009</v>
      </c>
      <c r="F27" s="46">
        <f t="shared" si="6"/>
        <v>8186401.2799999993</v>
      </c>
      <c r="G27" s="46">
        <f t="shared" si="6"/>
        <v>0</v>
      </c>
      <c r="H27" s="46">
        <f>H14+H22+H26+H9</f>
        <v>5999999.9975000005</v>
      </c>
      <c r="I27" s="46">
        <f>I14+I22+I26+I9</f>
        <v>14186401.277499998</v>
      </c>
      <c r="J27" s="112"/>
      <c r="K27" s="112"/>
      <c r="L27" s="112"/>
      <c r="M27" s="112"/>
      <c r="N27" s="112"/>
      <c r="O27" s="112"/>
      <c r="P27" s="112"/>
    </row>
    <row r="28" spans="1:16" x14ac:dyDescent="0.2">
      <c r="A28" s="157" t="s">
        <v>177</v>
      </c>
      <c r="B28" s="158"/>
      <c r="C28" s="158"/>
      <c r="D28" s="158"/>
      <c r="E28" s="158"/>
      <c r="F28" s="158"/>
      <c r="G28" s="158"/>
      <c r="H28" s="171">
        <f>'Revised 2012 budget'!I30</f>
        <v>6000000</v>
      </c>
      <c r="I28" s="159"/>
      <c r="J28" s="112"/>
      <c r="K28" s="195"/>
      <c r="L28" s="112"/>
      <c r="M28" s="112"/>
      <c r="N28" s="112"/>
      <c r="O28" s="112"/>
      <c r="P28" s="112"/>
    </row>
    <row r="29" spans="1:16" x14ac:dyDescent="0.2">
      <c r="I29" s="112"/>
      <c r="J29" s="112"/>
      <c r="K29" s="112"/>
      <c r="L29" s="112"/>
      <c r="M29" s="112"/>
      <c r="N29" s="112"/>
      <c r="O29" s="112"/>
      <c r="P29" s="112"/>
    </row>
    <row r="31" spans="1:16" x14ac:dyDescent="0.2">
      <c r="A31" s="15" t="s">
        <v>57</v>
      </c>
    </row>
    <row r="35" spans="3:3" x14ac:dyDescent="0.2">
      <c r="C35" s="15" t="s">
        <v>57</v>
      </c>
    </row>
  </sheetData>
  <mergeCells count="10">
    <mergeCell ref="H2:H4"/>
    <mergeCell ref="I2:I4"/>
    <mergeCell ref="A1:I1"/>
    <mergeCell ref="G2:G4"/>
    <mergeCell ref="A2:A4"/>
    <mergeCell ref="B2:B4"/>
    <mergeCell ref="C2:C4"/>
    <mergeCell ref="F2:F4"/>
    <mergeCell ref="D2:D4"/>
    <mergeCell ref="E2:E4"/>
  </mergeCells>
  <phoneticPr fontId="14" type="noConversion"/>
  <pageMargins left="0.75" right="0.75" top="1" bottom="1" header="0.5" footer="0.5"/>
  <pageSetup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selection activeCell="C7" sqref="C7"/>
    </sheetView>
  </sheetViews>
  <sheetFormatPr defaultRowHeight="12.75" x14ac:dyDescent="0.2"/>
  <cols>
    <col min="1" max="1" width="40.140625" customWidth="1"/>
    <col min="2" max="2" width="15.5703125" customWidth="1"/>
    <col min="3" max="3" width="16.140625" customWidth="1"/>
    <col min="4" max="4" width="16" customWidth="1"/>
    <col min="5" max="5" width="18.28515625" customWidth="1"/>
    <col min="6" max="6" width="17.85546875" customWidth="1"/>
  </cols>
  <sheetData>
    <row r="1" spans="1:13" ht="18" x14ac:dyDescent="0.25">
      <c r="A1" s="254" t="s">
        <v>114</v>
      </c>
      <c r="B1" s="255"/>
      <c r="C1" s="255"/>
      <c r="D1" s="256"/>
      <c r="E1" s="256"/>
      <c r="F1" s="256"/>
    </row>
    <row r="2" spans="1:13" ht="15.75" x14ac:dyDescent="0.25">
      <c r="A2" s="1"/>
      <c r="B2" s="84" t="s">
        <v>1</v>
      </c>
      <c r="C2" s="84" t="s">
        <v>29</v>
      </c>
      <c r="D2" s="84" t="s">
        <v>29</v>
      </c>
      <c r="E2" s="3" t="s">
        <v>116</v>
      </c>
      <c r="F2" s="84" t="s">
        <v>31</v>
      </c>
      <c r="H2" s="10"/>
      <c r="I2" s="10"/>
      <c r="J2" s="10"/>
      <c r="K2" s="10"/>
      <c r="L2" s="10"/>
      <c r="M2" s="10"/>
    </row>
    <row r="3" spans="1:13" ht="14.25" x14ac:dyDescent="0.2">
      <c r="A3" s="4"/>
      <c r="B3" s="84" t="s">
        <v>2</v>
      </c>
      <c r="C3" s="3">
        <v>2011</v>
      </c>
      <c r="D3" s="3">
        <v>2011</v>
      </c>
      <c r="E3" s="3" t="s">
        <v>30</v>
      </c>
      <c r="F3" s="3" t="s">
        <v>32</v>
      </c>
      <c r="H3" s="10"/>
      <c r="I3" s="10"/>
      <c r="J3" s="10"/>
      <c r="K3" s="10"/>
      <c r="L3" s="10"/>
      <c r="M3" s="10"/>
    </row>
    <row r="4" spans="1:13" x14ac:dyDescent="0.2">
      <c r="A4" s="2"/>
      <c r="B4" s="84" t="s">
        <v>115</v>
      </c>
      <c r="C4" s="84" t="s">
        <v>3</v>
      </c>
      <c r="D4" s="84" t="s">
        <v>5</v>
      </c>
      <c r="E4" s="3" t="s">
        <v>117</v>
      </c>
      <c r="F4" s="3" t="s">
        <v>33</v>
      </c>
      <c r="H4" s="10"/>
      <c r="I4" s="10"/>
      <c r="J4" s="10"/>
      <c r="K4" s="10"/>
      <c r="L4" s="10"/>
      <c r="M4" s="10"/>
    </row>
    <row r="5" spans="1:13" ht="15" x14ac:dyDescent="0.25">
      <c r="A5" s="5" t="s">
        <v>36</v>
      </c>
      <c r="B5" s="84" t="s">
        <v>7</v>
      </c>
      <c r="C5" s="85" t="s">
        <v>8</v>
      </c>
      <c r="D5" s="85" t="s">
        <v>9</v>
      </c>
      <c r="E5" s="85" t="s">
        <v>10</v>
      </c>
      <c r="F5" s="86" t="s">
        <v>35</v>
      </c>
      <c r="H5" s="10"/>
      <c r="I5" s="10"/>
      <c r="J5" s="10"/>
      <c r="K5" s="10"/>
      <c r="L5" s="10"/>
      <c r="M5" s="10"/>
    </row>
    <row r="6" spans="1:13" x14ac:dyDescent="0.2">
      <c r="A6" s="6" t="s">
        <v>6</v>
      </c>
      <c r="B6" s="13"/>
      <c r="C6" s="3"/>
      <c r="D6" s="3"/>
      <c r="E6" s="3"/>
      <c r="F6" s="7"/>
      <c r="H6" s="118"/>
      <c r="I6" s="10"/>
      <c r="J6" s="10"/>
      <c r="K6" s="10"/>
      <c r="L6" s="10"/>
      <c r="M6" s="10"/>
    </row>
    <row r="7" spans="1:13" x14ac:dyDescent="0.2">
      <c r="A7" s="6" t="s">
        <v>11</v>
      </c>
      <c r="B7" s="39">
        <f>'[5]Expenses vs Budgets_EE'!D8</f>
        <v>22724583.98</v>
      </c>
      <c r="C7" s="39">
        <f>'[5]Expenses vs Budgets_EE'!E8</f>
        <v>19923078.400000002</v>
      </c>
      <c r="D7" s="39">
        <f>B7-C7</f>
        <v>2801505.5799999982</v>
      </c>
      <c r="E7" s="39">
        <f>'[1]Energy Efficiency Budgets'!D7</f>
        <v>1622693.4400000013</v>
      </c>
      <c r="F7" s="39">
        <f>D7-E7</f>
        <v>1178812.1399999969</v>
      </c>
      <c r="G7" s="15" t="s">
        <v>57</v>
      </c>
      <c r="H7" s="114"/>
      <c r="I7" s="10"/>
      <c r="J7" s="10"/>
      <c r="K7" s="10"/>
      <c r="L7" s="10"/>
      <c r="M7" s="10"/>
    </row>
    <row r="8" spans="1:13" x14ac:dyDescent="0.2">
      <c r="A8" s="6" t="s">
        <v>12</v>
      </c>
      <c r="B8" s="39">
        <f>'[5]Expenses vs Budgets_EE'!D9</f>
        <v>19943969.5</v>
      </c>
      <c r="C8" s="39">
        <f>'[5]Expenses vs Budgets_EE'!E9</f>
        <v>7039315.4699999997</v>
      </c>
      <c r="D8" s="39">
        <f>B8-C8</f>
        <v>12904654.030000001</v>
      </c>
      <c r="E8" s="39">
        <f>'[1]Energy Efficiency Budgets'!D8</f>
        <v>7533309.2400000002</v>
      </c>
      <c r="F8" s="39">
        <f>D8-E8</f>
        <v>5371344.790000001</v>
      </c>
      <c r="H8" s="114"/>
      <c r="I8" s="10"/>
      <c r="J8" s="10"/>
      <c r="K8" s="10"/>
      <c r="L8" s="10"/>
      <c r="M8" s="10"/>
    </row>
    <row r="9" spans="1:13" x14ac:dyDescent="0.2">
      <c r="A9" s="6" t="s">
        <v>37</v>
      </c>
      <c r="B9" s="39">
        <f>'[5]Expenses vs Budgets_EE'!D10</f>
        <v>18193381.039999999</v>
      </c>
      <c r="C9" s="39">
        <f>'[5]Expenses vs Budgets_EE'!E10</f>
        <v>16643930.609999999</v>
      </c>
      <c r="D9" s="39">
        <f>B9-C9</f>
        <v>1549450.4299999997</v>
      </c>
      <c r="E9" s="39">
        <f>'[1]Energy Efficiency Budgets'!D9</f>
        <v>395143.77999999747</v>
      </c>
      <c r="F9" s="39">
        <f>D9-E9</f>
        <v>1154306.6500000022</v>
      </c>
      <c r="H9" s="114"/>
      <c r="I9" s="10"/>
      <c r="J9" s="10"/>
      <c r="K9" s="10"/>
      <c r="L9" s="10"/>
      <c r="M9" s="10"/>
    </row>
    <row r="10" spans="1:13" x14ac:dyDescent="0.2">
      <c r="A10" s="6" t="s">
        <v>13</v>
      </c>
      <c r="B10" s="39">
        <f>'[5]Expenses vs Budgets_EE'!D11</f>
        <v>29760156.050000001</v>
      </c>
      <c r="C10" s="39">
        <f>'[5]Expenses vs Budgets_EE'!E11</f>
        <v>15266819.300000001</v>
      </c>
      <c r="D10" s="39">
        <f>B10-C10</f>
        <v>14493336.75</v>
      </c>
      <c r="E10" s="39">
        <f>'[1]Energy Efficiency Budgets'!D10</f>
        <v>9173162.8899999969</v>
      </c>
      <c r="F10" s="39">
        <f>D10-E10</f>
        <v>5320173.8600000031</v>
      </c>
      <c r="H10" s="114"/>
      <c r="I10" s="10"/>
      <c r="J10" s="10"/>
      <c r="K10" s="10"/>
      <c r="L10" s="10"/>
      <c r="M10" s="10"/>
    </row>
    <row r="11" spans="1:13" x14ac:dyDescent="0.2">
      <c r="A11" s="6" t="s">
        <v>81</v>
      </c>
      <c r="B11" s="39">
        <f>'[5]Expenses vs Budgets_EE'!D12</f>
        <v>1309984</v>
      </c>
      <c r="C11" s="39">
        <f>'[5]Expenses vs Budgets_EE'!E12</f>
        <v>1111985.1000000001</v>
      </c>
      <c r="D11" s="39">
        <f>B11-C11</f>
        <v>197998.89999999991</v>
      </c>
      <c r="E11" s="39">
        <f>'[1]Energy Efficiency Budgets'!D11</f>
        <v>87475.129999999888</v>
      </c>
      <c r="F11" s="39">
        <f>D11-E11</f>
        <v>110523.77000000002</v>
      </c>
      <c r="H11" s="114"/>
      <c r="I11" s="10"/>
      <c r="J11" s="10"/>
      <c r="K11" s="10"/>
      <c r="L11" s="10"/>
      <c r="M11" s="10"/>
    </row>
    <row r="12" spans="1:13" x14ac:dyDescent="0.2">
      <c r="A12" s="63" t="s">
        <v>16</v>
      </c>
      <c r="B12" s="64">
        <f>SUM(B7:B11)</f>
        <v>91932074.570000008</v>
      </c>
      <c r="C12" s="64">
        <f>SUM(C7:C11)</f>
        <v>59985128.880000003</v>
      </c>
      <c r="D12" s="64">
        <f>SUM(D7:D11)</f>
        <v>31946945.689999998</v>
      </c>
      <c r="E12" s="64">
        <f>SUM(E7:E11)</f>
        <v>18811784.479999993</v>
      </c>
      <c r="F12" s="64">
        <f>SUM(F7:F11)</f>
        <v>13135161.210000003</v>
      </c>
      <c r="H12" s="115"/>
      <c r="I12" s="10"/>
      <c r="J12" s="10"/>
      <c r="K12" s="10"/>
      <c r="L12" s="10"/>
      <c r="M12" s="10"/>
    </row>
    <row r="13" spans="1:13" x14ac:dyDescent="0.2">
      <c r="A13" s="6" t="s">
        <v>14</v>
      </c>
      <c r="B13" s="41"/>
      <c r="C13" s="41"/>
      <c r="D13" s="39"/>
      <c r="E13" s="39"/>
      <c r="F13" s="39"/>
      <c r="H13" s="118"/>
      <c r="I13" s="10"/>
      <c r="J13" s="10"/>
      <c r="K13" s="10"/>
      <c r="L13" s="10"/>
      <c r="M13" s="10"/>
    </row>
    <row r="14" spans="1:13" x14ac:dyDescent="0.2">
      <c r="A14" s="8" t="s">
        <v>15</v>
      </c>
      <c r="B14" s="39">
        <f>'[5]Expenses vs Budgets_EE'!$D$16</f>
        <v>30829308.109999999</v>
      </c>
      <c r="C14" s="39">
        <f>'[5]Expenses vs Budgets_EE'!$E$16</f>
        <v>28405761.969999999</v>
      </c>
      <c r="D14" s="39">
        <f>B14-C14</f>
        <v>2423546.1400000006</v>
      </c>
      <c r="E14" s="39">
        <f>'[1]Energy Efficiency Budgets'!$D$16</f>
        <v>0</v>
      </c>
      <c r="F14" s="39">
        <f>D14-E14</f>
        <v>2423546.1400000006</v>
      </c>
      <c r="H14" s="114"/>
      <c r="I14" s="10"/>
      <c r="J14" s="10"/>
      <c r="K14" s="10"/>
      <c r="L14" s="10"/>
      <c r="M14" s="10"/>
    </row>
    <row r="15" spans="1:13" x14ac:dyDescent="0.2">
      <c r="A15" s="63" t="s">
        <v>70</v>
      </c>
      <c r="B15" s="46">
        <f>SUM(B14)</f>
        <v>30829308.109999999</v>
      </c>
      <c r="C15" s="46">
        <f>SUM(C14)</f>
        <v>28405761.969999999</v>
      </c>
      <c r="D15" s="46">
        <f>SUM(D14)</f>
        <v>2423546.1400000006</v>
      </c>
      <c r="E15" s="46">
        <f>SUM(E14)</f>
        <v>0</v>
      </c>
      <c r="F15" s="46">
        <f>SUM(F14)</f>
        <v>2423546.1400000006</v>
      </c>
      <c r="H15" s="114"/>
      <c r="I15" s="10"/>
      <c r="J15" s="10"/>
      <c r="K15" s="10"/>
      <c r="L15" s="10"/>
      <c r="M15" s="10"/>
    </row>
    <row r="16" spans="1:13" x14ac:dyDescent="0.2">
      <c r="A16" s="6" t="s">
        <v>17</v>
      </c>
      <c r="B16" s="43"/>
      <c r="C16" s="43"/>
      <c r="D16" s="64"/>
      <c r="E16" s="64"/>
      <c r="F16" s="64"/>
      <c r="H16" s="115"/>
      <c r="I16" s="10"/>
      <c r="J16" s="10"/>
      <c r="K16" s="10"/>
      <c r="L16" s="10"/>
      <c r="M16" s="10"/>
    </row>
    <row r="17" spans="1:13" x14ac:dyDescent="0.2">
      <c r="A17" s="6" t="s">
        <v>75</v>
      </c>
      <c r="B17" s="41">
        <f>'[5]Expenses vs Budgets_EE'!D20</f>
        <v>6867143.4100000001</v>
      </c>
      <c r="C17" s="41">
        <f>'[5]Expenses vs Budgets_EE'!E20</f>
        <v>2387636.9500000002</v>
      </c>
      <c r="D17" s="39">
        <f t="shared" ref="D17:D27" si="0">B17-C17</f>
        <v>4479506.46</v>
      </c>
      <c r="E17" s="38">
        <f>'[1]Energy Efficiency Budgets'!D21</f>
        <v>3765517.1500000004</v>
      </c>
      <c r="F17" s="39">
        <f t="shared" ref="F17:F27" si="1">D17-E17</f>
        <v>713989.30999999959</v>
      </c>
      <c r="H17" s="114"/>
      <c r="I17" s="10"/>
      <c r="J17" s="10"/>
      <c r="K17" s="10"/>
      <c r="L17" s="10"/>
      <c r="M17" s="10"/>
    </row>
    <row r="18" spans="1:13" x14ac:dyDescent="0.2">
      <c r="A18" s="6" t="s">
        <v>76</v>
      </c>
      <c r="B18" s="41">
        <f>'[5]Expenses vs Budgets_EE'!D21</f>
        <v>45899451.299999997</v>
      </c>
      <c r="C18" s="41">
        <f>'[5]Expenses vs Budgets_EE'!E21</f>
        <v>15697501.92</v>
      </c>
      <c r="D18" s="39">
        <f t="shared" si="0"/>
        <v>30201949.379999995</v>
      </c>
      <c r="E18" s="38">
        <f>'[1]Energy Efficiency Budgets'!D22</f>
        <v>26945246.93</v>
      </c>
      <c r="F18" s="39">
        <f t="shared" si="1"/>
        <v>3256702.4499999955</v>
      </c>
      <c r="H18" s="114"/>
      <c r="I18" s="10"/>
      <c r="J18" s="10"/>
      <c r="K18" s="10"/>
      <c r="L18" s="10"/>
      <c r="M18" s="10"/>
    </row>
    <row r="19" spans="1:13" x14ac:dyDescent="0.2">
      <c r="A19" s="6" t="s">
        <v>77</v>
      </c>
      <c r="B19" s="41">
        <f>'[5]Expenses vs Budgets_EE'!D22</f>
        <v>7471645.96</v>
      </c>
      <c r="C19" s="41">
        <f>'[5]Expenses vs Budgets_EE'!E22</f>
        <v>478711.07999999996</v>
      </c>
      <c r="D19" s="82">
        <f t="shared" si="0"/>
        <v>6992934.8799999999</v>
      </c>
      <c r="E19" s="38">
        <f>'[1]Energy Efficiency Budgets'!D23</f>
        <v>6810817.5800000001</v>
      </c>
      <c r="F19" s="82">
        <f t="shared" si="1"/>
        <v>182117.29999999981</v>
      </c>
      <c r="H19" s="114"/>
      <c r="I19" s="10"/>
      <c r="J19" s="10"/>
      <c r="K19" s="10"/>
      <c r="L19" s="10"/>
      <c r="M19" s="10"/>
    </row>
    <row r="20" spans="1:13" x14ac:dyDescent="0.2">
      <c r="A20" s="6" t="s">
        <v>58</v>
      </c>
      <c r="B20" s="41">
        <f>'[5]Expenses vs Budgets_EE'!D23</f>
        <v>43355701.5</v>
      </c>
      <c r="C20" s="41">
        <f>'[5]Expenses vs Budgets_EE'!E23</f>
        <v>5023091.4800000004</v>
      </c>
      <c r="D20" s="39">
        <f t="shared" si="0"/>
        <v>38332610.019999996</v>
      </c>
      <c r="E20" s="38">
        <f>'[1]Energy Efficiency Budgets'!D24</f>
        <v>37498618.399999999</v>
      </c>
      <c r="F20" s="39">
        <f t="shared" si="1"/>
        <v>833991.61999999732</v>
      </c>
      <c r="H20" s="114"/>
      <c r="I20" s="10"/>
      <c r="J20" s="10"/>
      <c r="K20" s="10"/>
      <c r="L20" s="10"/>
      <c r="M20" s="10"/>
    </row>
    <row r="21" spans="1:13" x14ac:dyDescent="0.2">
      <c r="A21" s="6" t="s">
        <v>18</v>
      </c>
      <c r="B21" s="41">
        <f>'[5]Expenses vs Budgets_EE'!D24</f>
        <v>1002122.83</v>
      </c>
      <c r="C21" s="41">
        <f>'[5]Expenses vs Budgets_EE'!E24</f>
        <v>0</v>
      </c>
      <c r="D21" s="39">
        <f t="shared" si="0"/>
        <v>1002122.83</v>
      </c>
      <c r="E21" s="38">
        <f>'[1]Energy Efficiency Budgets'!D25</f>
        <v>1002122.8300000001</v>
      </c>
      <c r="F21" s="39">
        <f t="shared" si="1"/>
        <v>0</v>
      </c>
      <c r="H21" s="114"/>
      <c r="I21" s="10"/>
      <c r="J21" s="10"/>
      <c r="K21" s="10"/>
      <c r="L21" s="10"/>
      <c r="M21" s="10"/>
    </row>
    <row r="22" spans="1:13" x14ac:dyDescent="0.2">
      <c r="A22" s="6" t="s">
        <v>78</v>
      </c>
      <c r="B22" s="41">
        <f>'[5]Expenses vs Budgets_EE'!D25</f>
        <v>9115170.9700000007</v>
      </c>
      <c r="C22" s="41">
        <f>'[5]Expenses vs Budgets_EE'!E25</f>
        <v>3493179</v>
      </c>
      <c r="D22" s="39">
        <f t="shared" si="0"/>
        <v>5621991.9700000007</v>
      </c>
      <c r="E22" s="38">
        <f>'[1]Energy Efficiency Budgets'!D26</f>
        <v>5761575.2199999969</v>
      </c>
      <c r="F22" s="39">
        <f t="shared" si="1"/>
        <v>-139583.24999999627</v>
      </c>
      <c r="H22" s="114"/>
      <c r="I22" s="10"/>
      <c r="J22" s="10"/>
      <c r="K22" s="10"/>
      <c r="L22" s="10"/>
      <c r="M22" s="10"/>
    </row>
    <row r="23" spans="1:13" x14ac:dyDescent="0.2">
      <c r="A23" s="6" t="s">
        <v>38</v>
      </c>
      <c r="B23" s="41">
        <f>'[5]Expenses vs Budgets_EE'!D26</f>
        <v>35896150.920000002</v>
      </c>
      <c r="C23" s="41">
        <f>'[5]Expenses vs Budgets_EE'!E26</f>
        <v>21733218.780000001</v>
      </c>
      <c r="D23" s="39">
        <f t="shared" si="0"/>
        <v>14162932.140000001</v>
      </c>
      <c r="E23" s="38">
        <f>'[1]Energy Efficiency Budgets'!D27</f>
        <v>14337218.140000001</v>
      </c>
      <c r="F23" s="39">
        <f t="shared" si="1"/>
        <v>-174286</v>
      </c>
      <c r="H23" s="114"/>
      <c r="I23" s="10"/>
      <c r="J23" s="10"/>
      <c r="K23" s="10"/>
      <c r="L23" s="10"/>
      <c r="M23" s="10"/>
    </row>
    <row r="24" spans="1:13" x14ac:dyDescent="0.2">
      <c r="A24" s="6" t="s">
        <v>60</v>
      </c>
      <c r="B24" s="41">
        <f>'[5]Expenses vs Budgets_EE'!D27</f>
        <v>682829.5</v>
      </c>
      <c r="C24" s="41">
        <f>'[5]Expenses vs Budgets_EE'!E27</f>
        <v>121599.5</v>
      </c>
      <c r="D24" s="39">
        <f t="shared" si="0"/>
        <v>561230</v>
      </c>
      <c r="E24" s="38">
        <f>'[1]Energy Efficiency Budgets'!D28</f>
        <v>0</v>
      </c>
      <c r="F24" s="39">
        <f t="shared" si="1"/>
        <v>561230</v>
      </c>
      <c r="H24" s="114"/>
      <c r="I24" s="10"/>
      <c r="J24" s="10"/>
      <c r="K24" s="10"/>
      <c r="L24" s="10"/>
      <c r="M24" s="10"/>
    </row>
    <row r="25" spans="1:13" x14ac:dyDescent="0.2">
      <c r="A25" s="6" t="s">
        <v>61</v>
      </c>
      <c r="B25" s="41">
        <f>'[5]Expenses vs Budgets_EE'!D28</f>
        <v>1075000</v>
      </c>
      <c r="C25" s="41">
        <f>'[5]Expenses vs Budgets_EE'!E28</f>
        <v>1062330.79</v>
      </c>
      <c r="D25" s="39">
        <f t="shared" si="0"/>
        <v>12669.209999999963</v>
      </c>
      <c r="E25" s="38">
        <f>'[1]Energy Efficiency Budgets'!D29</f>
        <v>0</v>
      </c>
      <c r="F25" s="39">
        <f t="shared" si="1"/>
        <v>12669.209999999963</v>
      </c>
      <c r="H25" s="114"/>
      <c r="I25" s="10"/>
      <c r="J25" s="10"/>
      <c r="K25" s="10"/>
      <c r="L25" s="10"/>
      <c r="M25" s="10"/>
    </row>
    <row r="26" spans="1:13" x14ac:dyDescent="0.2">
      <c r="A26" s="119" t="s">
        <v>94</v>
      </c>
      <c r="B26" s="41">
        <f>'[5]Expenses vs Budgets_EE'!D29</f>
        <v>20000000</v>
      </c>
      <c r="C26" s="41">
        <f>'[5]Expenses vs Budgets_EE'!E29</f>
        <v>71596.100000000006</v>
      </c>
      <c r="D26" s="39">
        <f t="shared" si="0"/>
        <v>19928403.899999999</v>
      </c>
      <c r="E26" s="38">
        <f>'[1]Energy Efficiency Budgets'!D30</f>
        <v>19895000</v>
      </c>
      <c r="F26" s="39">
        <f t="shared" si="1"/>
        <v>33403.89999999851</v>
      </c>
      <c r="H26" s="114"/>
      <c r="I26" s="10"/>
      <c r="J26" s="10"/>
      <c r="K26" s="10"/>
      <c r="L26" s="10"/>
      <c r="M26" s="10"/>
    </row>
    <row r="27" spans="1:13" x14ac:dyDescent="0.2">
      <c r="A27" s="119" t="s">
        <v>142</v>
      </c>
      <c r="B27" s="41">
        <f>'[5]Expenses vs Budgets_EE'!D30</f>
        <v>10000000</v>
      </c>
      <c r="C27" s="41">
        <f>'[5]Expenses vs Budgets_EE'!E30</f>
        <v>0</v>
      </c>
      <c r="D27" s="39">
        <f t="shared" si="0"/>
        <v>10000000</v>
      </c>
      <c r="E27" s="38">
        <f>'[1]Energy Efficiency Budgets'!D31</f>
        <v>10000000</v>
      </c>
      <c r="F27" s="39">
        <f t="shared" si="1"/>
        <v>0</v>
      </c>
      <c r="H27" s="114"/>
      <c r="I27" s="10"/>
      <c r="J27" s="10"/>
      <c r="K27" s="10"/>
      <c r="L27" s="10"/>
      <c r="M27" s="10"/>
    </row>
    <row r="28" spans="1:13" x14ac:dyDescent="0.2">
      <c r="A28" s="63" t="s">
        <v>19</v>
      </c>
      <c r="B28" s="44">
        <f>SUM(B17:B27)</f>
        <v>181365216.38999999</v>
      </c>
      <c r="C28" s="44">
        <f>SUM(C17:C27)</f>
        <v>50068865.600000001</v>
      </c>
      <c r="D28" s="44">
        <f>SUM(D17:D27)</f>
        <v>131296350.78999999</v>
      </c>
      <c r="E28" s="44">
        <f>SUM(E17:E27)</f>
        <v>126016116.25</v>
      </c>
      <c r="F28" s="64">
        <f>SUM(F17:F27)</f>
        <v>5280234.5399999944</v>
      </c>
      <c r="H28" s="114"/>
      <c r="I28" s="10"/>
      <c r="J28" s="10"/>
      <c r="K28" s="10"/>
      <c r="L28" s="10"/>
      <c r="M28" s="10"/>
    </row>
    <row r="29" spans="1:13" x14ac:dyDescent="0.2">
      <c r="A29" s="6" t="s">
        <v>20</v>
      </c>
      <c r="B29" s="43"/>
      <c r="C29" s="43"/>
      <c r="D29" s="46"/>
      <c r="E29" s="46"/>
      <c r="F29" s="46"/>
      <c r="H29" s="114"/>
      <c r="I29" s="10"/>
      <c r="J29" s="10"/>
      <c r="K29" s="10"/>
      <c r="L29" s="10"/>
      <c r="M29" s="10"/>
    </row>
    <row r="30" spans="1:13" x14ac:dyDescent="0.2">
      <c r="A30" s="117" t="s">
        <v>92</v>
      </c>
      <c r="B30" s="43">
        <f>'[5]Expenses vs Budgets_EE'!D34</f>
        <v>678853.1</v>
      </c>
      <c r="C30" s="43">
        <f>'[5]Expenses vs Budgets_EE'!E34</f>
        <v>195895.63</v>
      </c>
      <c r="D30" s="39">
        <f>B30-C30</f>
        <v>482957.47</v>
      </c>
      <c r="E30" s="39">
        <f>'[1]Energy Efficiency Budgets'!D37</f>
        <v>195429.96999999997</v>
      </c>
      <c r="F30" s="39">
        <f>D30-E30</f>
        <v>287527.5</v>
      </c>
      <c r="H30" s="114"/>
      <c r="I30" s="10"/>
      <c r="J30" s="10"/>
      <c r="K30" s="10"/>
      <c r="L30" s="10"/>
      <c r="M30" s="10"/>
    </row>
    <row r="31" spans="1:13" x14ac:dyDescent="0.2">
      <c r="A31" s="117" t="s">
        <v>143</v>
      </c>
      <c r="B31" s="43">
        <f>'[5]Expenses vs Budgets_EE'!D35</f>
        <v>20000000</v>
      </c>
      <c r="C31" s="43">
        <f>'[5]Expenses vs Budgets_EE'!E35</f>
        <v>0</v>
      </c>
      <c r="D31" s="39">
        <f>B31-C31</f>
        <v>20000000</v>
      </c>
      <c r="E31" s="39">
        <f>'[1]Energy Efficiency Budgets'!D38</f>
        <v>20000000</v>
      </c>
      <c r="F31" s="39">
        <f>D31-E31</f>
        <v>0</v>
      </c>
      <c r="H31" s="114"/>
      <c r="I31" s="10"/>
      <c r="J31" s="10"/>
      <c r="K31" s="10"/>
      <c r="L31" s="10"/>
      <c r="M31" s="10"/>
    </row>
    <row r="32" spans="1:13" x14ac:dyDescent="0.2">
      <c r="A32" s="117" t="s">
        <v>90</v>
      </c>
      <c r="B32" s="43">
        <f>'[5]Expenses vs Budgets_EE'!D36</f>
        <v>1070000</v>
      </c>
      <c r="C32" s="43">
        <f>'[5]Expenses vs Budgets_EE'!E36</f>
        <v>380149.11</v>
      </c>
      <c r="D32" s="39">
        <f>B32-C32</f>
        <v>689850.89</v>
      </c>
      <c r="E32" s="39">
        <f>'[1]Energy Efficiency Budgets'!D39</f>
        <v>370000</v>
      </c>
      <c r="F32" s="39">
        <f>D32-E32</f>
        <v>319850.89</v>
      </c>
      <c r="H32" s="115"/>
      <c r="I32" s="10"/>
      <c r="J32" s="10"/>
      <c r="K32" s="10"/>
      <c r="L32" s="10"/>
      <c r="M32" s="10"/>
    </row>
    <row r="33" spans="1:13" x14ac:dyDescent="0.2">
      <c r="A33" s="87" t="s">
        <v>21</v>
      </c>
      <c r="B33" s="45">
        <f>SUM(B30:B32)</f>
        <v>21748853.100000001</v>
      </c>
      <c r="C33" s="45">
        <f>SUM(C30:C32)</f>
        <v>576044.74</v>
      </c>
      <c r="D33" s="45">
        <f>SUM(D30:D32)</f>
        <v>21172808.359999999</v>
      </c>
      <c r="E33" s="45">
        <f>SUM(E30:E32)</f>
        <v>20565429.969999999</v>
      </c>
      <c r="F33" s="45">
        <f>SUM(F30:F32)</f>
        <v>607378.39</v>
      </c>
      <c r="H33" s="118"/>
      <c r="I33" s="10"/>
      <c r="J33" s="10"/>
      <c r="K33" s="10"/>
      <c r="L33" s="10"/>
      <c r="M33" s="10"/>
    </row>
    <row r="34" spans="1:13" ht="15" x14ac:dyDescent="0.25">
      <c r="A34" s="88" t="s">
        <v>22</v>
      </c>
      <c r="B34" s="45">
        <f>B12+B15+B28+B33</f>
        <v>325875452.17000002</v>
      </c>
      <c r="C34" s="45">
        <f>C12+C15+C28+C33</f>
        <v>139035801.19</v>
      </c>
      <c r="D34" s="45">
        <f>D12+D15+D28+D33</f>
        <v>186839650.98000002</v>
      </c>
      <c r="E34" s="45">
        <f>E12+E15+E28+E33</f>
        <v>165393330.69999999</v>
      </c>
      <c r="F34" s="46">
        <f>F12+F15+F28+F33</f>
        <v>21446320.279999997</v>
      </c>
      <c r="H34" s="114"/>
      <c r="I34" s="10"/>
      <c r="J34" s="10"/>
      <c r="K34" s="10"/>
      <c r="L34" s="10"/>
      <c r="M34" s="10"/>
    </row>
    <row r="35" spans="1:13" x14ac:dyDescent="0.2">
      <c r="A35" s="129"/>
      <c r="B35" s="130"/>
      <c r="C35" s="130"/>
      <c r="D35" s="130"/>
      <c r="E35" s="130"/>
      <c r="F35" s="130"/>
      <c r="H35" s="114"/>
      <c r="I35" s="10"/>
      <c r="J35" s="10"/>
      <c r="K35" s="10"/>
      <c r="L35" s="10"/>
      <c r="M35" s="10"/>
    </row>
    <row r="36" spans="1:13" ht="15" x14ac:dyDescent="0.25">
      <c r="A36" s="131" t="s">
        <v>93</v>
      </c>
      <c r="B36" s="103">
        <f>'[5]Expenses vs Budgets_NJCEP'!$B$12</f>
        <v>25000000</v>
      </c>
      <c r="C36" s="103">
        <f>'[5]Expenses vs Budgets_NJCEP'!$C$12</f>
        <v>3210125.71</v>
      </c>
      <c r="D36" s="46">
        <f>B36-C36</f>
        <v>21789874.289999999</v>
      </c>
      <c r="E36" s="103">
        <f>'[1]Funding by Budget Category'!$C$11</f>
        <v>14374500</v>
      </c>
      <c r="F36" s="46">
        <f>D36-E36</f>
        <v>7415374.2899999991</v>
      </c>
      <c r="H36" s="114"/>
      <c r="I36" s="10"/>
      <c r="J36" s="10"/>
      <c r="K36" s="10"/>
      <c r="L36" s="10"/>
      <c r="M36" s="10"/>
    </row>
    <row r="37" spans="1:13" x14ac:dyDescent="0.2">
      <c r="H37" s="114"/>
      <c r="I37" s="10"/>
      <c r="J37" s="10"/>
      <c r="K37" s="10"/>
      <c r="L37" s="10"/>
      <c r="M37" s="10"/>
    </row>
    <row r="38" spans="1:13" x14ac:dyDescent="0.2">
      <c r="H38" s="115"/>
      <c r="I38" s="10"/>
      <c r="J38" s="10"/>
      <c r="K38" s="10"/>
      <c r="L38" s="10"/>
      <c r="M38" s="10"/>
    </row>
    <row r="39" spans="1:13" x14ac:dyDescent="0.2">
      <c r="H39" s="115"/>
      <c r="I39" s="10"/>
      <c r="J39" s="10"/>
      <c r="K39" s="10"/>
      <c r="L39" s="10"/>
      <c r="M39" s="10"/>
    </row>
    <row r="40" spans="1:13" x14ac:dyDescent="0.2">
      <c r="H40" s="10"/>
      <c r="I40" s="10"/>
      <c r="J40" s="10"/>
      <c r="K40" s="10"/>
      <c r="L40" s="10"/>
      <c r="M40" s="10"/>
    </row>
    <row r="41" spans="1:13" x14ac:dyDescent="0.2">
      <c r="H41" s="10"/>
      <c r="I41" s="10"/>
      <c r="J41" s="10"/>
      <c r="K41" s="10"/>
      <c r="L41" s="10"/>
      <c r="M41" s="10"/>
    </row>
  </sheetData>
  <mergeCells count="1">
    <mergeCell ref="A1:F1"/>
  </mergeCells>
  <phoneticPr fontId="0" type="noConversion"/>
  <pageMargins left="0.75" right="0.75" top="1" bottom="1" header="0.5" footer="0.5"/>
  <pageSetup scale="99" orientation="landscape" r:id="rId1"/>
  <headerFooter alignWithMargins="0"/>
  <ignoredErrors>
    <ignoredError sqref="E7:E16 E17:E32 E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RQRD Reduction</vt:lpstr>
      <vt:lpstr>Revised 2012 budget</vt:lpstr>
      <vt:lpstr>Revised 2012 EE Budget</vt:lpstr>
      <vt:lpstr>EE Budget Detail</vt:lpstr>
      <vt:lpstr>Revised 2012 RE Budget</vt:lpstr>
      <vt:lpstr>RE Budget Detail</vt:lpstr>
      <vt:lpstr>Revised 2012 EDA Budget</vt:lpstr>
      <vt:lpstr>Revised OCE Oversight Budget</vt:lpstr>
      <vt:lpstr>2011 Energy Efficiency Budget</vt:lpstr>
      <vt:lpstr>2011 RE - EDA Energy Budgets</vt:lpstr>
      <vt:lpstr>2011 OCE Oversight</vt:lpstr>
      <vt:lpstr>'2011 Energy Efficiency Budget'!Print_Area</vt:lpstr>
      <vt:lpstr>'2011 OCE Oversight'!Print_Area</vt:lpstr>
      <vt:lpstr>'2011 RE - EDA Energy Budgets'!Print_Area</vt:lpstr>
      <vt:lpstr>'EE Budget Detail'!Print_Area</vt:lpstr>
      <vt:lpstr>'RE Budget Detail'!Print_Area</vt:lpstr>
      <vt:lpstr>'Revised 2012 budget'!Print_Area</vt:lpstr>
      <vt:lpstr>'Revised 2012 EDA Budget'!Print_Area</vt:lpstr>
      <vt:lpstr>'Revised 2012 EE Budget'!Print_Area</vt:lpstr>
      <vt:lpstr>'Revised 2012 RE Budget'!Print_Area</vt:lpstr>
      <vt:lpstr>'Revised OCE Oversight Budget'!Print_Area</vt:lpstr>
    </vt:vector>
  </TitlesOfParts>
  <Company>Gabel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Ambrosio</dc:creator>
  <cp:lastModifiedBy>Linda Wetzel</cp:lastModifiedBy>
  <cp:lastPrinted>2012-08-22T12:15:13Z</cp:lastPrinted>
  <dcterms:created xsi:type="dcterms:W3CDTF">2007-04-13T16:10:09Z</dcterms:created>
  <dcterms:modified xsi:type="dcterms:W3CDTF">2012-08-24T14:15:29Z</dcterms:modified>
</cp:coreProperties>
</file>